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9cc5d0790a18a78/Documents/UK Short courses/Investment Analyst Program/Task/Level 1/Task 2/"/>
    </mc:Choice>
  </mc:AlternateContent>
  <xr:revisionPtr revIDLastSave="741" documentId="11_4F7F9F834645AE05C1FE301F87DF88DCAF86D170" xr6:coauthVersionLast="47" xr6:coauthVersionMax="47" xr10:uidLastSave="{016EF626-C9F6-4072-9F2E-51EF958264C4}"/>
  <bookViews>
    <workbookView xWindow="-108" yWindow="-108" windowWidth="23256" windowHeight="12456" firstSheet="1" activeTab="2" xr2:uid="{00000000-000D-0000-FFFF-FFFF00000000}"/>
  </bookViews>
  <sheets>
    <sheet name="Instructions" sheetId="1" r:id="rId1"/>
    <sheet name="List of Ratios" sheetId="3" r:id="rId2"/>
    <sheet name="Financial Statement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3" l="1"/>
  <c r="E21" i="3"/>
  <c r="C21" i="3"/>
  <c r="D31" i="3"/>
  <c r="E31" i="3"/>
  <c r="C31" i="3"/>
  <c r="D11" i="3" l="1"/>
  <c r="E11" i="3"/>
  <c r="E12" i="3" s="1"/>
  <c r="C11" i="3"/>
  <c r="C12" i="3" s="1"/>
  <c r="C13" i="3"/>
  <c r="D13" i="3"/>
  <c r="E13" i="3"/>
  <c r="C24" i="2"/>
  <c r="B24" i="2"/>
  <c r="C30" i="3"/>
  <c r="D52" i="3"/>
  <c r="E52" i="3"/>
  <c r="C52" i="3"/>
  <c r="D53" i="3"/>
  <c r="E53" i="3"/>
  <c r="C53" i="3"/>
  <c r="D54" i="3"/>
  <c r="E54" i="3"/>
  <c r="C54" i="3"/>
  <c r="D50" i="3"/>
  <c r="E50" i="3"/>
  <c r="C50" i="3"/>
  <c r="D51" i="3"/>
  <c r="E51" i="3"/>
  <c r="C51" i="3"/>
  <c r="D49" i="3"/>
  <c r="E49" i="3"/>
  <c r="C49" i="3"/>
  <c r="D44" i="3"/>
  <c r="E44" i="3"/>
  <c r="C44" i="3"/>
  <c r="D45" i="3"/>
  <c r="E45" i="3"/>
  <c r="C45" i="3"/>
  <c r="D40" i="3"/>
  <c r="E40" i="3"/>
  <c r="C40" i="3"/>
  <c r="C42" i="3"/>
  <c r="D42" i="3"/>
  <c r="E42" i="3"/>
  <c r="D37" i="3"/>
  <c r="E37" i="3"/>
  <c r="C37" i="3"/>
  <c r="D36" i="3"/>
  <c r="E36" i="3"/>
  <c r="C36" i="3"/>
  <c r="D35" i="3"/>
  <c r="E35" i="3"/>
  <c r="C35" i="3"/>
  <c r="D34" i="3"/>
  <c r="E34" i="3"/>
  <c r="C34" i="3"/>
  <c r="D30" i="3"/>
  <c r="E30" i="3"/>
  <c r="D43" i="3"/>
  <c r="E43" i="3"/>
  <c r="C43" i="3"/>
  <c r="D29" i="3"/>
  <c r="E29" i="3"/>
  <c r="C29" i="3"/>
  <c r="D27" i="3"/>
  <c r="E27" i="3"/>
  <c r="C27" i="3"/>
  <c r="D26" i="3"/>
  <c r="E26" i="3"/>
  <c r="C26" i="3"/>
  <c r="D25" i="3"/>
  <c r="E25" i="3"/>
  <c r="C25" i="3"/>
  <c r="D22" i="3"/>
  <c r="E22" i="3"/>
  <c r="C22" i="3"/>
  <c r="D20" i="3"/>
  <c r="E20" i="3"/>
  <c r="C20" i="3"/>
  <c r="D19" i="3"/>
  <c r="D18" i="3" s="1"/>
  <c r="E19" i="3"/>
  <c r="E18" i="3" s="1"/>
  <c r="C19" i="3"/>
  <c r="C18" i="3" s="1"/>
  <c r="D17" i="3"/>
  <c r="E17" i="3"/>
  <c r="C17" i="3"/>
  <c r="D14" i="3"/>
  <c r="E14" i="3"/>
  <c r="C14" i="3"/>
  <c r="D12" i="3"/>
  <c r="D10" i="3"/>
  <c r="E10" i="3"/>
  <c r="C10" i="3"/>
  <c r="D9" i="3"/>
  <c r="E9" i="3"/>
  <c r="C9" i="3"/>
  <c r="D8" i="3"/>
  <c r="E8" i="3"/>
  <c r="C8" i="3"/>
  <c r="D60" i="2"/>
  <c r="E7" i="3" s="1"/>
  <c r="C112" i="2"/>
  <c r="D112" i="2"/>
  <c r="B112" i="2"/>
  <c r="C103" i="2"/>
  <c r="D103" i="2"/>
  <c r="B103" i="2"/>
  <c r="C75" i="2"/>
  <c r="D75" i="2"/>
  <c r="B75" i="2"/>
  <c r="C65" i="2"/>
  <c r="D65" i="2"/>
  <c r="D66" i="2" s="1"/>
  <c r="B65" i="2"/>
  <c r="C60" i="2"/>
  <c r="D7" i="3" s="1"/>
  <c r="B60" i="2"/>
  <c r="C7" i="3" s="1"/>
  <c r="D51" i="2"/>
  <c r="C51" i="2"/>
  <c r="B51" i="2"/>
  <c r="C45" i="2"/>
  <c r="D6" i="3" s="1"/>
  <c r="D45" i="2"/>
  <c r="E5" i="3" s="1"/>
  <c r="B45" i="2"/>
  <c r="C5" i="3" s="1"/>
  <c r="C23" i="2"/>
  <c r="D23" i="2"/>
  <c r="B23" i="2"/>
  <c r="C18" i="2"/>
  <c r="D18" i="2"/>
  <c r="B18" i="2"/>
  <c r="C8" i="2"/>
  <c r="C11" i="2" s="1"/>
  <c r="D8" i="2"/>
  <c r="D11" i="2" s="1"/>
  <c r="B8" i="2"/>
  <c r="B11" i="2" s="1"/>
  <c r="A49" i="3"/>
  <c r="A51" i="3" s="1"/>
  <c r="A16" i="3"/>
  <c r="A24" i="3" s="1"/>
  <c r="A5" i="3"/>
  <c r="A6" i="3" s="1"/>
  <c r="A7" i="3" s="1"/>
  <c r="A8" i="3" s="1"/>
  <c r="A9" i="3" s="1"/>
  <c r="A10" i="3" s="1"/>
  <c r="A11" i="3" s="1"/>
  <c r="A12" i="3" s="1"/>
  <c r="A13" i="3" s="1"/>
  <c r="C28" i="3" l="1"/>
  <c r="E28" i="3"/>
  <c r="D28" i="3"/>
  <c r="D5" i="3"/>
  <c r="C6" i="3"/>
  <c r="E6" i="3"/>
  <c r="D76" i="2"/>
  <c r="B52" i="2"/>
  <c r="C52" i="2"/>
  <c r="D52" i="2"/>
  <c r="B66" i="2"/>
  <c r="B76" i="2" s="1"/>
  <c r="C66" i="2"/>
  <c r="C76" i="2" s="1"/>
  <c r="D19" i="2"/>
  <c r="D24" i="2" s="1"/>
  <c r="D27" i="2" s="1"/>
  <c r="D84" i="2" s="1"/>
  <c r="D96" i="2" s="1"/>
  <c r="D114" i="2" s="1"/>
  <c r="D115" i="2" s="1"/>
  <c r="C19" i="2"/>
  <c r="C27" i="2" s="1"/>
  <c r="C84" i="2" s="1"/>
  <c r="C96" i="2" s="1"/>
  <c r="C114" i="2" s="1"/>
  <c r="C115" i="2" s="1"/>
  <c r="B19" i="2"/>
  <c r="B27" i="2" s="1"/>
  <c r="B84" i="2" s="1"/>
  <c r="B96" i="2" s="1"/>
  <c r="B114" i="2" s="1"/>
  <c r="B115" i="2" s="1"/>
  <c r="A33" i="3"/>
  <c r="A25" i="3"/>
  <c r="A26" i="3" s="1"/>
  <c r="A27" i="3" s="1"/>
  <c r="A28" i="3" s="1"/>
  <c r="A29" i="3" s="1"/>
  <c r="A30" i="3" s="1"/>
  <c r="A17" i="3"/>
  <c r="A18" i="3" s="1"/>
  <c r="A20" i="3" s="1"/>
  <c r="A22" i="3" s="1"/>
  <c r="A34" i="3" l="1"/>
  <c r="A35" i="3" s="1"/>
  <c r="A36" i="3" s="1"/>
  <c r="A37" i="3" s="1"/>
  <c r="A39" i="3"/>
  <c r="A40" i="3" s="1"/>
  <c r="A42" i="3" s="1"/>
  <c r="A44" i="3" s="1"/>
  <c r="A45" i="3" s="1"/>
  <c r="A46" i="3" s="1"/>
  <c r="A48" i="3" s="1"/>
  <c r="A50" i="3" s="1"/>
  <c r="A52" i="3" s="1"/>
</calcChain>
</file>

<file path=xl/sharedStrings.xml><?xml version="1.0" encoding="utf-8"?>
<sst xmlns="http://schemas.openxmlformats.org/spreadsheetml/2006/main" count="169" uniqueCount="157">
  <si>
    <t>Instructions</t>
  </si>
  <si>
    <t>https://ir.aboutamazon.com/annual-reports-proxies-and-shareholder-letters/default.aspx</t>
  </si>
  <si>
    <t>You are required write up a 1-2 page report commenting on the financial health of Amazon Inc. based on the ratios you have calculated, addressing the five key topics mentioned in the ratios tab.</t>
  </si>
  <si>
    <t>Formats:</t>
  </si>
  <si>
    <t>However make sure you have covered the five key topics in the ratio analysis</t>
  </si>
  <si>
    <t>Please refer to the below website in order to download the company financial statements:</t>
  </si>
  <si>
    <t>You are free to use any additional publicly available information/ news articles whilst mentioning the sources at the end page</t>
  </si>
  <si>
    <t>The report should be submitted as a word document</t>
  </si>
  <si>
    <t>The supporting calculations should be submitted in excel document as same as the previous task.</t>
  </si>
  <si>
    <t>(In millions, except number of shares which are reflected in thousands and per share amounts)</t>
  </si>
  <si>
    <t>CONSOLIDATED STATEMENTS OF OPERATIONS</t>
  </si>
  <si>
    <t>Gross margin</t>
  </si>
  <si>
    <t>CONSOLIDATED BALANCE SHEETS</t>
  </si>
  <si>
    <t>CONSOLIDATED STATEMENTS OF CASH FLOWS</t>
  </si>
  <si>
    <t>Liquidity</t>
  </si>
  <si>
    <t>Current ratio</t>
  </si>
  <si>
    <t>Quick Ratio</t>
  </si>
  <si>
    <t>Cash Ratio</t>
  </si>
  <si>
    <t>Defensive Interval</t>
  </si>
  <si>
    <t>Inventory Days</t>
  </si>
  <si>
    <t>Payable Days</t>
  </si>
  <si>
    <t>Receivable Days</t>
  </si>
  <si>
    <t>Net trading cycle</t>
  </si>
  <si>
    <t>Working Capital as a % of Sales</t>
  </si>
  <si>
    <t>Working Capital</t>
  </si>
  <si>
    <t>Profitability</t>
  </si>
  <si>
    <t>EBITDA margin</t>
  </si>
  <si>
    <t>EBITDA</t>
  </si>
  <si>
    <t>EBIT margin</t>
  </si>
  <si>
    <t>EBIT</t>
  </si>
  <si>
    <t>Net margin</t>
  </si>
  <si>
    <t>Solvency/ debt management</t>
  </si>
  <si>
    <t>Debt to equity (D/E)</t>
  </si>
  <si>
    <t>Debt to total assets</t>
  </si>
  <si>
    <t>Long-term debt to capital</t>
  </si>
  <si>
    <t>Times interest earned</t>
  </si>
  <si>
    <t>Debt coverage</t>
  </si>
  <si>
    <t>Free cash flow (FCFE) per share</t>
  </si>
  <si>
    <t>FCFE</t>
  </si>
  <si>
    <t>Asset utilization</t>
  </si>
  <si>
    <t>Total asset turnover</t>
  </si>
  <si>
    <t>Fixed asset turnover</t>
  </si>
  <si>
    <t>Inventory turnover</t>
  </si>
  <si>
    <t>Return on assets (ROA)</t>
  </si>
  <si>
    <t>Investor/market ratios</t>
  </si>
  <si>
    <t>Price to equity (P/E)</t>
  </si>
  <si>
    <t>Earnings per share (EPS)</t>
  </si>
  <si>
    <t>Price to book value (PBV)</t>
  </si>
  <si>
    <t>Book value per share (BV)</t>
  </si>
  <si>
    <t>Dividend payout ratio</t>
  </si>
  <si>
    <t>Dividend per share</t>
  </si>
  <si>
    <t>Dividend yield</t>
  </si>
  <si>
    <t>Return on equity (ROE)</t>
  </si>
  <si>
    <t>Return on capital employed (ROCE)</t>
  </si>
  <si>
    <t>Enterprise value to EBITDA (EV/EBITDA)</t>
  </si>
  <si>
    <t>Enterprise value (EV)</t>
  </si>
  <si>
    <t xml:space="preserve">Years ended </t>
  </si>
  <si>
    <t xml:space="preserve">As at </t>
  </si>
  <si>
    <t>Years ended ,</t>
  </si>
  <si>
    <t>Please input the three financial statements in the format from previous task, attached here in the second tab</t>
  </si>
  <si>
    <t>Perform the calculations on tab three similar to previous task.</t>
  </si>
  <si>
    <t>Perform a management report, analyzing the financial health of Amazon Inc. based on its recent two annual reports (2022 &amp; 2021).</t>
  </si>
  <si>
    <t>AMAZON.COM, INC.</t>
  </si>
  <si>
    <t>Total net sales</t>
  </si>
  <si>
    <t>Net sales:</t>
  </si>
  <si>
    <t>Net products sales</t>
  </si>
  <si>
    <t>Net services sales</t>
  </si>
  <si>
    <t>Total cost of sales</t>
  </si>
  <si>
    <t>Operating expenses:</t>
  </si>
  <si>
    <t>Total operating expenses</t>
  </si>
  <si>
    <t>Operating income</t>
  </si>
  <si>
    <t>Other income/(expense), net</t>
  </si>
  <si>
    <t>Income before provision for income taxes</t>
  </si>
  <si>
    <t>Provision for income taxes</t>
  </si>
  <si>
    <t>Earnings per share:</t>
  </si>
  <si>
    <t>Basic</t>
  </si>
  <si>
    <t>Diluted</t>
  </si>
  <si>
    <t>Cost of sales</t>
  </si>
  <si>
    <t>Fulfilment</t>
  </si>
  <si>
    <t>Technology and content</t>
  </si>
  <si>
    <t>Sales and marketing</t>
  </si>
  <si>
    <t>General and administrative</t>
  </si>
  <si>
    <t>Other operating expense (income), net</t>
  </si>
  <si>
    <t>Interest income</t>
  </si>
  <si>
    <t>Interest expense</t>
  </si>
  <si>
    <t>Total non-operating income (expense)</t>
  </si>
  <si>
    <t>Equity-method investment activity, net of tax</t>
  </si>
  <si>
    <t>Net income (loss)</t>
  </si>
  <si>
    <t>Weighted average shares used in computing earnings per share:</t>
  </si>
  <si>
    <t>Current assets:</t>
  </si>
  <si>
    <t>Cash and cash equivalents</t>
  </si>
  <si>
    <t>Marketable securities</t>
  </si>
  <si>
    <t>Accounts receivable, net</t>
  </si>
  <si>
    <t>Inventories</t>
  </si>
  <si>
    <t>Total current assets</t>
  </si>
  <si>
    <t>Non current assets:</t>
  </si>
  <si>
    <t>Property, plant and equipment, net</t>
  </si>
  <si>
    <t>Total non current assets</t>
  </si>
  <si>
    <t>Total assets</t>
  </si>
  <si>
    <t>Operating leases</t>
  </si>
  <si>
    <t>Goodwill</t>
  </si>
  <si>
    <t>Other assets</t>
  </si>
  <si>
    <t>Current liabilities:</t>
  </si>
  <si>
    <t>Accounts payable</t>
  </si>
  <si>
    <t>Commercial paper</t>
  </si>
  <si>
    <t>Term debt</t>
  </si>
  <si>
    <t>Total current liabilities</t>
  </si>
  <si>
    <t>Non current liabilities:</t>
  </si>
  <si>
    <t>Total non current liabilities</t>
  </si>
  <si>
    <t>Total liabilities</t>
  </si>
  <si>
    <t>Shareholders’ equity:</t>
  </si>
  <si>
    <t>Retained earnings</t>
  </si>
  <si>
    <t>Accumulated other comprehensive income/(loss)</t>
  </si>
  <si>
    <t>Total shareholders’ equity</t>
  </si>
  <si>
    <t>Total liabilities and shareholders’ equity</t>
  </si>
  <si>
    <t>Accrued expenses and other</t>
  </si>
  <si>
    <t>Unearned revenue</t>
  </si>
  <si>
    <t>Long-term lease liabilities</t>
  </si>
  <si>
    <t>Long-term debt</t>
  </si>
  <si>
    <t>Other long-term liabilities</t>
  </si>
  <si>
    <t>Common stock ($0.01 par value; 100000 shares authorised; 10,644 and 10757 shares issued; 10,175 and 10,242 shares outstanding)</t>
  </si>
  <si>
    <t>Treasury stock, at cost</t>
  </si>
  <si>
    <t>Cash, cash equivalents and restricted cash, beginning balances</t>
  </si>
  <si>
    <t>Operating activities:</t>
  </si>
  <si>
    <t>Adjustments to reconcile net income to cash generated by operating</t>
  </si>
  <si>
    <t>Depreciation and amortization</t>
  </si>
  <si>
    <t>Deferred income tax expense/(benefit)</t>
  </si>
  <si>
    <t>Changes in operating assets and liabilities:</t>
  </si>
  <si>
    <t>Cash generated by operating activities</t>
  </si>
  <si>
    <t>Investing activities:</t>
  </si>
  <si>
    <t>Purchases of marketable securities</t>
  </si>
  <si>
    <t>Cash generated by/(used in) investing activities</t>
  </si>
  <si>
    <t>Financing activities:</t>
  </si>
  <si>
    <t>Cash used in financing activities</t>
  </si>
  <si>
    <t>Cash, cash equivalents and restricted cash, ending balances</t>
  </si>
  <si>
    <t>Supplemental cash flow disclosure:</t>
  </si>
  <si>
    <t>Cash paid for income taxes, net</t>
  </si>
  <si>
    <t>Cash paid for interest</t>
  </si>
  <si>
    <t>Stock- based compensation expense</t>
  </si>
  <si>
    <t>Other expense (income), net</t>
  </si>
  <si>
    <t>Proceeds from property and equipment sales and incentives</t>
  </si>
  <si>
    <t>Acquisitions, nbet of cash acquired, and other</t>
  </si>
  <si>
    <t>Sales and maturities of marketable securities</t>
  </si>
  <si>
    <t>Purchases of property and equipment</t>
  </si>
  <si>
    <t>Common stock repurchased</t>
  </si>
  <si>
    <t>Proceeds from short-term debt, and other</t>
  </si>
  <si>
    <t>Repayments of term debt, and other</t>
  </si>
  <si>
    <t>Proceeds from long-term debt</t>
  </si>
  <si>
    <t>Principal repayments of financing obligations</t>
  </si>
  <si>
    <t>Foreign currency effect on cash, cash equivalents, and restricted cash</t>
  </si>
  <si>
    <t>Net increase/(decrease) in cash, cash equivalents and restricted cash</t>
  </si>
  <si>
    <t>Principal repayments of finance leases</t>
  </si>
  <si>
    <t>Additional paid-in capital</t>
  </si>
  <si>
    <t>Share price</t>
  </si>
  <si>
    <t>Diluted shares</t>
  </si>
  <si>
    <t>Market Cap</t>
  </si>
  <si>
    <t>Repayments of long-term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</si>
</sst>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wrapText="1"/>
    </xf>
    <xf numFmtId="0" fontId="4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left" wrapText="1" indent="1"/>
    </xf>
    <xf numFmtId="0" fontId="5" fillId="0" borderId="0" xfId="2" applyAlignment="1">
      <alignment horizontal="left" wrapText="1" indent="1"/>
    </xf>
    <xf numFmtId="0" fontId="6" fillId="2" borderId="0" xfId="0" applyFont="1" applyFill="1" applyAlignment="1">
      <alignment vertical="center"/>
    </xf>
    <xf numFmtId="0" fontId="3" fillId="2" borderId="0" xfId="0" applyFont="1" applyFill="1"/>
    <xf numFmtId="0" fontId="2" fillId="0" borderId="0" xfId="0" applyFont="1"/>
    <xf numFmtId="165" fontId="0" fillId="0" borderId="0" xfId="1" applyNumberFormat="1" applyFont="1"/>
    <xf numFmtId="0" fontId="2" fillId="0" borderId="1" xfId="0" applyFont="1" applyBorder="1"/>
    <xf numFmtId="165" fontId="2" fillId="0" borderId="1" xfId="1" applyNumberFormat="1" applyFont="1" applyBorder="1"/>
    <xf numFmtId="0" fontId="2" fillId="0" borderId="2" xfId="0" applyFont="1" applyBorder="1"/>
    <xf numFmtId="165" fontId="2" fillId="0" borderId="2" xfId="1" applyNumberFormat="1" applyFont="1" applyBorder="1"/>
    <xf numFmtId="3" fontId="0" fillId="0" borderId="0" xfId="0" applyNumberFormat="1"/>
    <xf numFmtId="165" fontId="2" fillId="0" borderId="0" xfId="1" applyNumberFormat="1" applyFont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3" fillId="2" borderId="0" xfId="0" applyFont="1" applyFill="1" applyAlignment="1">
      <alignment horizontal="center"/>
    </xf>
    <xf numFmtId="166" fontId="0" fillId="0" borderId="0" xfId="0" applyNumberFormat="1"/>
    <xf numFmtId="0" fontId="2" fillId="0" borderId="0" xfId="0" applyFont="1" applyAlignment="1">
      <alignment horizontal="left"/>
    </xf>
    <xf numFmtId="0" fontId="0" fillId="0" borderId="3" xfId="0" applyBorder="1"/>
    <xf numFmtId="165" fontId="2" fillId="0" borderId="0" xfId="1" applyNumberFormat="1" applyFont="1" applyBorder="1"/>
    <xf numFmtId="165" fontId="1" fillId="0" borderId="0" xfId="1" applyNumberFormat="1" applyFont="1" applyBorder="1"/>
    <xf numFmtId="0" fontId="2" fillId="0" borderId="4" xfId="0" applyFont="1" applyBorder="1"/>
    <xf numFmtId="165" fontId="2" fillId="0" borderId="4" xfId="1" applyNumberFormat="1" applyFont="1" applyBorder="1"/>
    <xf numFmtId="164" fontId="0" fillId="4" borderId="0" xfId="1" applyFont="1" applyFill="1"/>
    <xf numFmtId="164" fontId="0" fillId="0" borderId="0" xfId="1" applyFont="1"/>
    <xf numFmtId="0" fontId="2" fillId="0" borderId="4" xfId="0" applyFont="1" applyBorder="1" applyAlignment="1">
      <alignment horizontal="left"/>
    </xf>
    <xf numFmtId="165" fontId="0" fillId="0" borderId="4" xfId="1" applyNumberFormat="1" applyFont="1" applyBorder="1"/>
    <xf numFmtId="165" fontId="1" fillId="0" borderId="1" xfId="1" applyNumberFormat="1" applyFont="1" applyBorder="1"/>
    <xf numFmtId="165" fontId="0" fillId="0" borderId="0" xfId="1" applyNumberFormat="1" applyFont="1" applyBorder="1"/>
    <xf numFmtId="165" fontId="0" fillId="0" borderId="3" xfId="1" applyNumberFormat="1" applyFont="1" applyBorder="1"/>
    <xf numFmtId="0" fontId="2" fillId="0" borderId="3" xfId="0" applyFont="1" applyBorder="1"/>
    <xf numFmtId="165" fontId="2" fillId="0" borderId="5" xfId="1" applyNumberFormat="1" applyFont="1" applyBorder="1"/>
    <xf numFmtId="2" fontId="0" fillId="0" borderId="0" xfId="0" applyNumberFormat="1"/>
    <xf numFmtId="0" fontId="6" fillId="2" borderId="0" xfId="0" applyFont="1" applyFill="1"/>
    <xf numFmtId="1" fontId="0" fillId="0" borderId="0" xfId="0" applyNumberFormat="1"/>
    <xf numFmtId="164" fontId="3" fillId="2" borderId="0" xfId="1" applyFont="1" applyFill="1" applyAlignment="1">
      <alignment horizontal="center"/>
    </xf>
    <xf numFmtId="43" fontId="0" fillId="0" borderId="0" xfId="0" applyNumberFormat="1"/>
    <xf numFmtId="0" fontId="0" fillId="0" borderId="0" xfId="0" applyAlignment="1">
      <alignment horizontal="left" indent="3"/>
    </xf>
    <xf numFmtId="167" fontId="0" fillId="0" borderId="0" xfId="0" applyNumberFormat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r.aboutamazon.com/annual-reports-proxies-and-shareholder-letters/defaul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/>
  </sheetViews>
  <sheetFormatPr defaultRowHeight="14.4" x14ac:dyDescent="0.3"/>
  <cols>
    <col min="1" max="1" width="157.88671875" style="2" customWidth="1"/>
  </cols>
  <sheetData>
    <row r="1" spans="1:1" ht="23.4" x14ac:dyDescent="0.45">
      <c r="A1" s="3" t="s">
        <v>0</v>
      </c>
    </row>
    <row r="3" spans="1:1" x14ac:dyDescent="0.3">
      <c r="A3" s="2" t="s">
        <v>61</v>
      </c>
    </row>
    <row r="4" spans="1:1" x14ac:dyDescent="0.3">
      <c r="A4" s="5" t="s">
        <v>5</v>
      </c>
    </row>
    <row r="5" spans="1:1" x14ac:dyDescent="0.3">
      <c r="A5" s="6" t="s">
        <v>1</v>
      </c>
    </row>
    <row r="7" spans="1:1" x14ac:dyDescent="0.3">
      <c r="A7" s="2" t="s">
        <v>59</v>
      </c>
    </row>
    <row r="8" spans="1:1" x14ac:dyDescent="0.3">
      <c r="A8" s="2" t="s">
        <v>60</v>
      </c>
    </row>
    <row r="9" spans="1:1" ht="28.8" x14ac:dyDescent="0.3">
      <c r="A9" s="2" t="s">
        <v>2</v>
      </c>
    </row>
    <row r="10" spans="1:1" x14ac:dyDescent="0.3">
      <c r="A10" s="2" t="s">
        <v>6</v>
      </c>
    </row>
    <row r="11" spans="1:1" x14ac:dyDescent="0.3">
      <c r="A11" s="2" t="s">
        <v>4</v>
      </c>
    </row>
    <row r="13" spans="1:1" x14ac:dyDescent="0.3">
      <c r="A13" s="4" t="s">
        <v>3</v>
      </c>
    </row>
    <row r="14" spans="1:1" x14ac:dyDescent="0.3">
      <c r="A14" s="2" t="s">
        <v>7</v>
      </c>
    </row>
    <row r="15" spans="1:1" x14ac:dyDescent="0.3">
      <c r="A15" s="2" t="s">
        <v>8</v>
      </c>
    </row>
  </sheetData>
  <hyperlinks>
    <hyperlink ref="A5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4"/>
  <sheetViews>
    <sheetView topLeftCell="A38" workbookViewId="0">
      <selection activeCell="C50" sqref="C50"/>
    </sheetView>
  </sheetViews>
  <sheetFormatPr defaultRowHeight="14.4" x14ac:dyDescent="0.3"/>
  <cols>
    <col min="1" max="1" width="4.6640625" customWidth="1"/>
    <col min="2" max="2" width="44.88671875" customWidth="1"/>
    <col min="3" max="3" width="11.44140625" bestFit="1" customWidth="1"/>
    <col min="4" max="5" width="12.77734375" bestFit="1" customWidth="1"/>
    <col min="6" max="8" width="13.21875" bestFit="1" customWidth="1"/>
  </cols>
  <sheetData>
    <row r="1" spans="1:10" ht="60" customHeight="1" x14ac:dyDescent="0.5">
      <c r="A1" s="7"/>
      <c r="B1" s="37" t="s">
        <v>62</v>
      </c>
      <c r="C1" s="39"/>
      <c r="D1" s="19"/>
      <c r="E1" s="19"/>
      <c r="F1" s="19"/>
      <c r="G1" s="19"/>
      <c r="H1" s="19"/>
      <c r="I1" s="19"/>
      <c r="J1" s="19"/>
    </row>
    <row r="2" spans="1:10" x14ac:dyDescent="0.3">
      <c r="C2" s="43" t="s">
        <v>58</v>
      </c>
      <c r="D2" s="43"/>
      <c r="E2" s="43"/>
    </row>
    <row r="3" spans="1:10" x14ac:dyDescent="0.3">
      <c r="C3" s="9">
        <v>2022</v>
      </c>
      <c r="D3" s="9">
        <v>2021</v>
      </c>
      <c r="E3" s="9">
        <v>2020</v>
      </c>
    </row>
    <row r="4" spans="1:10" x14ac:dyDescent="0.3">
      <c r="A4" s="20">
        <v>1</v>
      </c>
      <c r="B4" s="9" t="s">
        <v>14</v>
      </c>
    </row>
    <row r="5" spans="1:10" x14ac:dyDescent="0.3">
      <c r="A5" s="20">
        <f>+A4+0.1</f>
        <v>1.1000000000000001</v>
      </c>
      <c r="B5" s="1" t="s">
        <v>15</v>
      </c>
      <c r="C5" s="36">
        <f>'Financial Statements'!B45/'Financial Statements'!B60</f>
        <v>0.9446435811136924</v>
      </c>
      <c r="D5" s="36">
        <f>'Financial Statements'!C45/'Financial Statements'!C60</f>
        <v>1.1357597739445826</v>
      </c>
      <c r="E5" s="36">
        <f>'Financial Statements'!D45/'Financial Statements'!D60</f>
        <v>1.0502274795268425</v>
      </c>
    </row>
    <row r="6" spans="1:10" x14ac:dyDescent="0.3">
      <c r="A6" s="20">
        <f t="shared" ref="A6:A13" si="0">+A5+0.1</f>
        <v>1.2000000000000002</v>
      </c>
      <c r="B6" s="1" t="s">
        <v>16</v>
      </c>
      <c r="C6" s="36">
        <f>('Financial Statements'!B45-'Financial Statements'!B44)/'Financial Statements'!B60</f>
        <v>0.72323721145740161</v>
      </c>
      <c r="D6" s="36">
        <f>('Financial Statements'!C45-'Financial Statements'!C44)/'Financial Statements'!C60</f>
        <v>0.90633039517523517</v>
      </c>
      <c r="E6" s="36">
        <f>('Financial Statements'!D45-'Financial Statements'!D44)/'Financial Statements'!D60</f>
        <v>0.86195355461486722</v>
      </c>
    </row>
    <row r="7" spans="1:10" x14ac:dyDescent="0.3">
      <c r="A7" s="20">
        <f t="shared" si="0"/>
        <v>1.3000000000000003</v>
      </c>
      <c r="B7" s="1" t="s">
        <v>17</v>
      </c>
      <c r="C7" s="36">
        <f>'Financial Statements'!B41/'Financial Statements'!B60</f>
        <v>0.34678524772673158</v>
      </c>
      <c r="D7" s="36">
        <f>'Financial Statements'!C41/'Financial Statements'!C60</f>
        <v>0.25459350793583851</v>
      </c>
      <c r="E7" s="36">
        <f>'Financial Statements'!D41/'Financial Statements'!D60</f>
        <v>0.33328322190133325</v>
      </c>
    </row>
    <row r="8" spans="1:10" x14ac:dyDescent="0.3">
      <c r="A8" s="20">
        <f t="shared" si="0"/>
        <v>1.4000000000000004</v>
      </c>
      <c r="B8" s="1" t="s">
        <v>18</v>
      </c>
      <c r="C8" s="38">
        <f>('Financial Statements'!B45)/(('Financial Statements'!B18-'Financial Statements'!B86)/365)</f>
        <v>313.35697116087567</v>
      </c>
      <c r="D8" s="38">
        <f>('Financial Statements'!C45)/(('Financial Statements'!C18-'Financial Statements'!C86)/365)</f>
        <v>426.85392933138399</v>
      </c>
      <c r="E8" s="38">
        <f>('Financial Statements'!D45)/(('Financial Statements'!D18-'Financial Statements'!D86)/365)</f>
        <v>462.82451900112727</v>
      </c>
      <c r="F8" s="10"/>
      <c r="G8" s="10"/>
      <c r="H8" s="10"/>
    </row>
    <row r="9" spans="1:10" x14ac:dyDescent="0.3">
      <c r="A9" s="20">
        <f>+A8+0.1</f>
        <v>1.5000000000000004</v>
      </c>
      <c r="B9" s="1" t="s">
        <v>19</v>
      </c>
      <c r="C9" s="38">
        <f>'Financial Statements'!B44/('Financial Statements'!B10/365)</f>
        <v>43.4781065744328</v>
      </c>
      <c r="D9" s="38">
        <f>'Financial Statements'!C44/('Financial Statements'!C10/365)</f>
        <v>43.74467585112945</v>
      </c>
      <c r="E9" s="38">
        <f>'Financial Statements'!D44/('Financial Statements'!D10/365)</f>
        <v>37.226379834295585</v>
      </c>
    </row>
    <row r="10" spans="1:10" x14ac:dyDescent="0.3">
      <c r="A10" s="20">
        <f t="shared" si="0"/>
        <v>1.6000000000000005</v>
      </c>
      <c r="B10" s="1" t="s">
        <v>20</v>
      </c>
      <c r="C10" s="38">
        <f>'Financial Statements'!B55/('Financial Statements'!B10/365)</f>
        <v>100.59169548975005</v>
      </c>
      <c r="D10" s="38">
        <f>'Financial Statements'!C55/('Financial Statements'!C10/365)</f>
        <v>105.42681314807743</v>
      </c>
      <c r="E10" s="38">
        <f>'Financial Statements'!D55/('Financial Statements'!D10/365)</f>
        <v>113.48452896826929</v>
      </c>
    </row>
    <row r="11" spans="1:10" x14ac:dyDescent="0.3">
      <c r="A11" s="20">
        <f t="shared" si="0"/>
        <v>1.7000000000000006</v>
      </c>
      <c r="B11" s="1" t="s">
        <v>21</v>
      </c>
      <c r="C11" s="38">
        <f>'Financial Statements'!B50/('Financial Statements'!B8/365)</f>
        <v>30.364175468838464</v>
      </c>
      <c r="D11" s="38">
        <f>'Financial Statements'!C50/('Financial Statements'!C8/365)</f>
        <v>21.158598362784204</v>
      </c>
      <c r="E11" s="38">
        <f>'Financial Statements'!D50/('Financial Statements'!D8/365)</f>
        <v>21.535211778357993</v>
      </c>
      <c r="F11" s="40"/>
      <c r="G11" s="40"/>
      <c r="H11" s="40"/>
    </row>
    <row r="12" spans="1:10" x14ac:dyDescent="0.3">
      <c r="A12" s="20">
        <f t="shared" si="0"/>
        <v>1.8000000000000007</v>
      </c>
      <c r="B12" s="1" t="s">
        <v>22</v>
      </c>
      <c r="C12" s="10">
        <f>+C11+C9-C10</f>
        <v>-26.749413446478783</v>
      </c>
      <c r="D12" s="10">
        <f t="shared" ref="D12:E12" si="1">+D11+D9-D10</f>
        <v>-40.523538934163781</v>
      </c>
      <c r="E12" s="10">
        <f t="shared" si="1"/>
        <v>-54.722937355615713</v>
      </c>
    </row>
    <row r="13" spans="1:10" x14ac:dyDescent="0.3">
      <c r="A13" s="20">
        <f t="shared" si="0"/>
        <v>1.9000000000000008</v>
      </c>
      <c r="B13" s="1" t="s">
        <v>23</v>
      </c>
      <c r="C13" s="28">
        <f>(C14/'Financial Statements'!B8)</f>
        <v>-1.6735962084349094E-2</v>
      </c>
      <c r="D13" s="28">
        <f>(D14/'Financial Statements'!C8)</f>
        <v>4.1109186032156859E-2</v>
      </c>
      <c r="E13" s="28">
        <f>(E14/'Financial Statements'!D8)</f>
        <v>1.6442869576028845E-2</v>
      </c>
    </row>
    <row r="14" spans="1:10" x14ac:dyDescent="0.3">
      <c r="A14" s="20"/>
      <c r="B14" s="18" t="s">
        <v>24</v>
      </c>
      <c r="C14" s="10">
        <f>'Financial Statements'!B45-'Financial Statements'!B60</f>
        <v>-8602</v>
      </c>
      <c r="D14" s="10">
        <f>'Financial Statements'!C45-'Financial Statements'!C60</f>
        <v>19314</v>
      </c>
      <c r="E14" s="10">
        <f>'Financial Statements'!D45-'Financial Statements'!D60</f>
        <v>6348</v>
      </c>
    </row>
    <row r="15" spans="1:10" x14ac:dyDescent="0.3">
      <c r="A15" s="20"/>
    </row>
    <row r="16" spans="1:10" x14ac:dyDescent="0.3">
      <c r="A16" s="20">
        <f>+A4+1</f>
        <v>2</v>
      </c>
      <c r="B16" s="21" t="s">
        <v>25</v>
      </c>
    </row>
    <row r="17" spans="1:5" x14ac:dyDescent="0.3">
      <c r="A17" s="20">
        <f>+A16+0.1</f>
        <v>2.1</v>
      </c>
      <c r="B17" s="1" t="s">
        <v>11</v>
      </c>
      <c r="C17" s="36">
        <f>'Financial Statements'!B11/'Financial Statements'!B8</f>
        <v>0.43805339865326287</v>
      </c>
      <c r="D17" s="36">
        <f>'Financial Statements'!C11/'Financial Statements'!C8</f>
        <v>0.42032514441639601</v>
      </c>
      <c r="E17" s="36">
        <f>'Financial Statements'!D11/'Financial Statements'!D8</f>
        <v>0.3956779186870571</v>
      </c>
    </row>
    <row r="18" spans="1:5" x14ac:dyDescent="0.3">
      <c r="A18" s="20">
        <f>+A17+0.1</f>
        <v>2.2000000000000002</v>
      </c>
      <c r="B18" s="1" t="s">
        <v>26</v>
      </c>
      <c r="C18" s="40">
        <f>C19/'Financial Statements'!B8</f>
        <v>7.0012043199872365E-2</v>
      </c>
      <c r="D18" s="40">
        <f>D19/'Financial Statements'!C8</f>
        <v>0.15449255249860586</v>
      </c>
      <c r="E18" s="40">
        <f>E19/'Financial Statements'!D8</f>
        <v>0.12784926851506487</v>
      </c>
    </row>
    <row r="19" spans="1:5" x14ac:dyDescent="0.3">
      <c r="A19" s="20"/>
      <c r="B19" s="18" t="s">
        <v>27</v>
      </c>
      <c r="C19" s="10">
        <f>'Financial Statements'!B24+'Financial Statements'!B86</f>
        <v>35985</v>
      </c>
      <c r="D19" s="10">
        <f>'Financial Statements'!C24+'Financial Statements'!C86</f>
        <v>72584</v>
      </c>
      <c r="E19" s="10">
        <f>'Financial Statements'!D24+'Financial Statements'!D86</f>
        <v>49358</v>
      </c>
    </row>
    <row r="20" spans="1:5" x14ac:dyDescent="0.3">
      <c r="A20" s="20">
        <f>+A18+0.1</f>
        <v>2.3000000000000003</v>
      </c>
      <c r="B20" s="1" t="s">
        <v>28</v>
      </c>
      <c r="C20" s="28">
        <f>C21/'Financial Statements'!B8</f>
        <v>2.3829581912242232E-2</v>
      </c>
      <c r="D20" s="28">
        <f>D21/'Financial Statements'!C8</f>
        <v>5.2954097509269465E-2</v>
      </c>
      <c r="E20" s="28">
        <f>E21/'Financial Statements'!D8</f>
        <v>5.9313999751336569E-2</v>
      </c>
    </row>
    <row r="21" spans="1:5" x14ac:dyDescent="0.3">
      <c r="A21" s="20"/>
      <c r="B21" s="18" t="s">
        <v>29</v>
      </c>
      <c r="C21" s="10">
        <f>'Financial Statements'!B19</f>
        <v>12248</v>
      </c>
      <c r="D21" s="10">
        <f>'Financial Statements'!C19</f>
        <v>24879</v>
      </c>
      <c r="E21" s="10">
        <f>'Financial Statements'!D19</f>
        <v>22899</v>
      </c>
    </row>
    <row r="22" spans="1:5" x14ac:dyDescent="0.3">
      <c r="A22" s="20">
        <f>+A20+0.1</f>
        <v>2.4000000000000004</v>
      </c>
      <c r="B22" s="1" t="s">
        <v>30</v>
      </c>
      <c r="C22" s="28">
        <f>'Financial Statements'!B27/'Financial Statements'!B8</f>
        <v>-5.2958950004183018E-3</v>
      </c>
      <c r="D22" s="28">
        <f>'Financial Statements'!C27/'Financial Statements'!C8</f>
        <v>7.1014128755145567E-2</v>
      </c>
      <c r="E22" s="28">
        <f>'Financial Statements'!D27/'Financial Statements'!D8</f>
        <v>5.5252496995316841E-2</v>
      </c>
    </row>
    <row r="23" spans="1:5" x14ac:dyDescent="0.3">
      <c r="A23" s="20"/>
    </row>
    <row r="24" spans="1:5" x14ac:dyDescent="0.3">
      <c r="A24" s="20">
        <f>+A16+1</f>
        <v>3</v>
      </c>
      <c r="B24" s="9" t="s">
        <v>31</v>
      </c>
    </row>
    <row r="25" spans="1:5" x14ac:dyDescent="0.3">
      <c r="A25" s="20">
        <f>+A24+0.1</f>
        <v>3.1</v>
      </c>
      <c r="B25" s="1" t="s">
        <v>32</v>
      </c>
      <c r="C25" s="36">
        <f>'Financial Statements'!B63/'Financial Statements'!B75</f>
        <v>0.45979608745369516</v>
      </c>
      <c r="D25" s="36">
        <f>'Financial Statements'!C63/'Financial Statements'!C75</f>
        <v>0.35259141379435061</v>
      </c>
      <c r="E25" s="36">
        <f>'Financial Statements'!D63/'Financial Statements'!D75</f>
        <v>0.34062781037214679</v>
      </c>
    </row>
    <row r="26" spans="1:5" x14ac:dyDescent="0.3">
      <c r="A26" s="20">
        <f t="shared" ref="A26:A30" si="2">+A25+0.1</f>
        <v>3.2</v>
      </c>
      <c r="B26" s="1" t="s">
        <v>33</v>
      </c>
      <c r="C26" s="36">
        <f>'Financial Statements'!B63/'Financial Statements'!B52</f>
        <v>0.14513427351812827</v>
      </c>
      <c r="D26" s="36">
        <f>'Financial Statements'!C63/'Financial Statements'!C52</f>
        <v>0.11590563763081116</v>
      </c>
      <c r="E26" s="36">
        <f>'Financial Statements'!D63/'Financial Statements'!D52</f>
        <v>9.9055091144009094E-2</v>
      </c>
    </row>
    <row r="27" spans="1:5" x14ac:dyDescent="0.3">
      <c r="A27" s="20">
        <f t="shared" si="2"/>
        <v>3.3000000000000003</v>
      </c>
      <c r="B27" s="1" t="s">
        <v>34</v>
      </c>
      <c r="C27" s="36">
        <f>'Financial Statements'!B63/('Financial Statements'!B63+'Financial Statements'!B75)</f>
        <v>0.31497281805687805</v>
      </c>
      <c r="D27" s="36">
        <f>'Financial Statements'!C63/('Financial Statements'!C63+'Financial Statements'!C75)</f>
        <v>0.26067843562990334</v>
      </c>
      <c r="E27" s="36">
        <f>'Financial Statements'!D63/('Financial Statements'!D63+'Financial Statements'!D75)</f>
        <v>0.2540808177607411</v>
      </c>
    </row>
    <row r="28" spans="1:5" x14ac:dyDescent="0.3">
      <c r="A28" s="20">
        <f t="shared" si="2"/>
        <v>3.4000000000000004</v>
      </c>
      <c r="B28" s="1" t="s">
        <v>35</v>
      </c>
      <c r="C28" s="40">
        <f>ABS(C21)/ABS('Financial Statements'!B21)</f>
        <v>5.1744824672581329</v>
      </c>
      <c r="D28" s="40">
        <f>ABS(D21)/ABS('Financial Statements'!C21)</f>
        <v>13.752902155887231</v>
      </c>
      <c r="E28" s="40">
        <f>ABS(E21)/ABS('Financial Statements'!D21)</f>
        <v>13.903460837887067</v>
      </c>
    </row>
    <row r="29" spans="1:5" x14ac:dyDescent="0.3">
      <c r="A29" s="20">
        <f t="shared" si="2"/>
        <v>3.5000000000000004</v>
      </c>
      <c r="B29" s="1" t="s">
        <v>36</v>
      </c>
      <c r="C29" s="36">
        <f>ABS('Financial Statements'!B27)/((ABS('Financial Statements'!B21))+(ABS('Financial Statements'!B109)))</f>
        <v>0.75089655172413794</v>
      </c>
      <c r="D29" s="36">
        <f>ABS('Financial Statements'!C27)/((ABS('Financial Statements'!C21))+(ABS('Financial Statements'!C109)))</f>
        <v>9.8158281847602229</v>
      </c>
      <c r="E29" s="36">
        <f>ABS('Financial Statements'!D27)/((ABS('Financial Statements'!D21))+(ABS('Financial Statements'!D109)))</f>
        <v>6.6659375000000001</v>
      </c>
    </row>
    <row r="30" spans="1:5" x14ac:dyDescent="0.3">
      <c r="A30" s="20">
        <f t="shared" si="2"/>
        <v>3.6000000000000005</v>
      </c>
      <c r="B30" s="1" t="s">
        <v>37</v>
      </c>
      <c r="C30" s="36">
        <f>C31/C43</f>
        <v>5.568130051432771</v>
      </c>
      <c r="D30" s="36">
        <f t="shared" ref="D30:E30" si="3">D31/D43</f>
        <v>2.1676070015585664</v>
      </c>
      <c r="E30" s="36">
        <f t="shared" si="3"/>
        <v>3.1593478974262807</v>
      </c>
    </row>
    <row r="31" spans="1:5" x14ac:dyDescent="0.3">
      <c r="A31" s="20"/>
      <c r="B31" s="18" t="s">
        <v>38</v>
      </c>
      <c r="C31" s="10">
        <f>'Financial Statements'!B41+'Financial Statements'!B98+'Financial Statements'!B63+'Financial Statements'!B109</f>
        <v>56135</v>
      </c>
      <c r="D31" s="10">
        <f>'Financial Statements'!C41+'Financial Statements'!C98+'Financial Statements'!C63+'Financial Statements'!C109</f>
        <v>22321</v>
      </c>
      <c r="E31" s="10">
        <f>'Financial Statements'!D41+'Financial Statements'!D98+'Financial Statements'!D63+'Financial Statements'!D109</f>
        <v>32245</v>
      </c>
    </row>
    <row r="32" spans="1:5" x14ac:dyDescent="0.3">
      <c r="A32" s="20"/>
      <c r="C32" s="10"/>
      <c r="D32" s="10"/>
      <c r="E32" s="10"/>
    </row>
    <row r="33" spans="1:5" x14ac:dyDescent="0.3">
      <c r="A33" s="20">
        <f>+A24+1</f>
        <v>4</v>
      </c>
      <c r="B33" s="21" t="s">
        <v>39</v>
      </c>
    </row>
    <row r="34" spans="1:5" x14ac:dyDescent="0.3">
      <c r="A34" s="20">
        <f>+A33+0.1</f>
        <v>4.0999999999999996</v>
      </c>
      <c r="B34" s="1" t="s">
        <v>40</v>
      </c>
      <c r="C34" s="36">
        <f>'Financial Statements'!B8/'Financial Statements'!B52</f>
        <v>1.1108942562273734</v>
      </c>
      <c r="D34" s="36">
        <f>'Financial Statements'!C8/'Financial Statements'!C52</f>
        <v>1.1171635172120253</v>
      </c>
      <c r="E34" s="36">
        <f>'Financial Statements'!D8/'Financial Statements'!D52</f>
        <v>1.2019614253023865</v>
      </c>
    </row>
    <row r="35" spans="1:5" x14ac:dyDescent="0.3">
      <c r="A35" s="20">
        <f t="shared" ref="A35:A37" si="4">+A34+0.1</f>
        <v>4.1999999999999993</v>
      </c>
      <c r="B35" s="1" t="s">
        <v>41</v>
      </c>
      <c r="C35" s="36">
        <f>'Financial Statements'!B8/'Financial Statements'!B51</f>
        <v>1.6271257803497488</v>
      </c>
      <c r="D35" s="36">
        <f>'Financial Statements'!C8/'Financial Statements'!C51</f>
        <v>1.8142016998173527</v>
      </c>
      <c r="E35" s="36">
        <f>'Financial Statements'!D8/'Financial Statements'!D51</f>
        <v>2.048497840413452</v>
      </c>
    </row>
    <row r="36" spans="1:5" x14ac:dyDescent="0.3">
      <c r="A36" s="20">
        <f t="shared" si="4"/>
        <v>4.2999999999999989</v>
      </c>
      <c r="B36" s="1" t="s">
        <v>42</v>
      </c>
      <c r="C36" s="36">
        <f>'Financial Statements'!B10/'Financial Statements'!B44</f>
        <v>8.3950297921813686</v>
      </c>
      <c r="D36" s="36">
        <f>'Financial Statements'!C10/'Financial Statements'!C44</f>
        <v>8.3438725490196077</v>
      </c>
      <c r="E36" s="36">
        <f>'Financial Statements'!D10/'Financial Statements'!D44</f>
        <v>9.8048749737339769</v>
      </c>
    </row>
    <row r="37" spans="1:5" x14ac:dyDescent="0.3">
      <c r="A37" s="20">
        <f t="shared" si="4"/>
        <v>4.3999999999999986</v>
      </c>
      <c r="B37" s="1" t="s">
        <v>43</v>
      </c>
      <c r="C37" s="28">
        <f>'Financial Statements'!B27/'Financial Statements'!B52</f>
        <v>-5.8831793375479545E-3</v>
      </c>
      <c r="D37" s="28">
        <f>'Financial Statements'!C27/'Financial Statements'!C52</f>
        <v>7.9334393851846041E-2</v>
      </c>
      <c r="E37" s="28">
        <f>'Financial Statements'!D27/'Financial Statements'!D52</f>
        <v>6.6411370040006856E-2</v>
      </c>
    </row>
    <row r="38" spans="1:5" x14ac:dyDescent="0.3">
      <c r="A38" s="20"/>
    </row>
    <row r="39" spans="1:5" x14ac:dyDescent="0.3">
      <c r="A39" s="20">
        <f>+A33+1</f>
        <v>5</v>
      </c>
      <c r="B39" s="21" t="s">
        <v>44</v>
      </c>
    </row>
    <row r="40" spans="1:5" x14ac:dyDescent="0.3">
      <c r="A40" s="20">
        <f>+A39+0.1</f>
        <v>5.0999999999999996</v>
      </c>
      <c r="B40" s="1" t="s">
        <v>45</v>
      </c>
      <c r="C40" s="28">
        <f>C41/C42</f>
        <v>-311.11111111111109</v>
      </c>
      <c r="D40" s="28">
        <f t="shared" ref="D40:E40" si="5">D41/D42</f>
        <v>51.456790123456784</v>
      </c>
      <c r="E40" s="28">
        <f t="shared" si="5"/>
        <v>77.918660287081337</v>
      </c>
    </row>
    <row r="41" spans="1:5" x14ac:dyDescent="0.3">
      <c r="A41" s="20"/>
      <c r="B41" s="18" t="s">
        <v>153</v>
      </c>
      <c r="C41">
        <v>84</v>
      </c>
      <c r="D41">
        <v>166.72</v>
      </c>
      <c r="E41">
        <v>162.85</v>
      </c>
    </row>
    <row r="42" spans="1:5" x14ac:dyDescent="0.3">
      <c r="A42" s="20">
        <f>+A40+0.1</f>
        <v>5.1999999999999993</v>
      </c>
      <c r="B42" s="18" t="s">
        <v>46</v>
      </c>
      <c r="C42" s="28">
        <f>'Financial Statements'!B27/'List of Ratios'!C43</f>
        <v>-0.27</v>
      </c>
      <c r="D42">
        <f>'Financial Statements'!C27/'List of Ratios'!D43</f>
        <v>3.24</v>
      </c>
      <c r="E42">
        <f>'Financial Statements'!D27/'List of Ratios'!E43</f>
        <v>2.09</v>
      </c>
    </row>
    <row r="43" spans="1:5" x14ac:dyDescent="0.3">
      <c r="A43" s="20"/>
      <c r="B43" s="41" t="s">
        <v>154</v>
      </c>
      <c r="C43" s="10">
        <f>'Financial Statements'!B27/'Financial Statements'!B30</f>
        <v>10081.48148148148</v>
      </c>
      <c r="D43" s="10">
        <f>'Financial Statements'!C27/'Financial Statements'!C30</f>
        <v>10297.53086419753</v>
      </c>
      <c r="E43" s="10">
        <f>'Financial Statements'!D27/'Financial Statements'!D30</f>
        <v>10206.220095693781</v>
      </c>
    </row>
    <row r="44" spans="1:5" x14ac:dyDescent="0.3">
      <c r="A44" s="20">
        <f>+A42+0.1</f>
        <v>5.2999999999999989</v>
      </c>
      <c r="B44" s="1" t="s">
        <v>47</v>
      </c>
      <c r="C44" s="36">
        <f>C41/C45</f>
        <v>5.798596608152697</v>
      </c>
      <c r="D44" s="36">
        <f t="shared" ref="D44:E44" si="6">D41/D45</f>
        <v>12.41856375043591</v>
      </c>
      <c r="E44" s="36">
        <f t="shared" si="6"/>
        <v>17.794558504814916</v>
      </c>
    </row>
    <row r="45" spans="1:5" x14ac:dyDescent="0.3">
      <c r="A45" s="20">
        <f t="shared" ref="A45:A46" si="7">+A44+0.1</f>
        <v>5.3999999999999986</v>
      </c>
      <c r="B45" s="18" t="s">
        <v>48</v>
      </c>
      <c r="C45" s="36">
        <f>'Financial Statements'!B75/'List of Ratios'!C43</f>
        <v>14.48626377663483</v>
      </c>
      <c r="D45" s="36">
        <f>'Financial Statements'!C75/'List of Ratios'!D43</f>
        <v>13.425062942093275</v>
      </c>
      <c r="E45" s="36">
        <f>'Financial Statements'!D75/'List of Ratios'!E43</f>
        <v>9.1516740893535218</v>
      </c>
    </row>
    <row r="46" spans="1:5" x14ac:dyDescent="0.3">
      <c r="A46" s="20">
        <f t="shared" si="7"/>
        <v>5.4999999999999982</v>
      </c>
      <c r="B46" s="1" t="s">
        <v>49</v>
      </c>
    </row>
    <row r="47" spans="1:5" x14ac:dyDescent="0.3">
      <c r="A47" s="20"/>
      <c r="B47" s="18" t="s">
        <v>50</v>
      </c>
    </row>
    <row r="48" spans="1:5" x14ac:dyDescent="0.3">
      <c r="A48" s="20">
        <f>+A46+0.1</f>
        <v>5.5999999999999979</v>
      </c>
      <c r="B48" s="1" t="s">
        <v>51</v>
      </c>
    </row>
    <row r="49" spans="1:5" x14ac:dyDescent="0.3">
      <c r="A49" s="20">
        <f t="shared" ref="A49:A52" si="8">+A47+0.1</f>
        <v>0.1</v>
      </c>
      <c r="B49" s="1" t="s">
        <v>52</v>
      </c>
      <c r="C49" s="28">
        <f>'Financial Statements'!B27/'Financial Statements'!B75</f>
        <v>-1.8638346240490815E-2</v>
      </c>
      <c r="D49" s="28">
        <f>'Financial Statements'!C27/'Financial Statements'!C75</f>
        <v>0.2413396506202756</v>
      </c>
      <c r="E49" s="28">
        <f>'Financial Statements'!D27/'Financial Statements'!D75</f>
        <v>0.22837351719412444</v>
      </c>
    </row>
    <row r="50" spans="1:5" x14ac:dyDescent="0.3">
      <c r="A50" s="20">
        <f t="shared" si="8"/>
        <v>5.6999999999999975</v>
      </c>
      <c r="B50" s="1" t="s">
        <v>53</v>
      </c>
      <c r="C50" s="36">
        <f>('Financial Statements'!B63+'Financial Statements'!B75)/('Financial Statements'!B52-'Financial Statements'!B66)</f>
        <v>1.459796087453695</v>
      </c>
      <c r="D50" s="36">
        <f>('Financial Statements'!C63+'Financial Statements'!C75)/('Financial Statements'!C52-'Financial Statements'!C66)</f>
        <v>1.3525914137943507</v>
      </c>
      <c r="E50" s="36">
        <f>('Financial Statements'!D63+'Financial Statements'!D75)/('Financial Statements'!D52-'Financial Statements'!D66)</f>
        <v>1.3406278103721467</v>
      </c>
    </row>
    <row r="51" spans="1:5" x14ac:dyDescent="0.3">
      <c r="A51" s="20">
        <f t="shared" si="8"/>
        <v>0.2</v>
      </c>
      <c r="B51" s="1" t="s">
        <v>43</v>
      </c>
      <c r="C51" s="28">
        <f>'Financial Statements'!B27/'Financial Statements'!B52</f>
        <v>-5.8831793375479545E-3</v>
      </c>
      <c r="D51" s="28">
        <f>'Financial Statements'!C27/'Financial Statements'!C52</f>
        <v>7.9334393851846041E-2</v>
      </c>
      <c r="E51" s="28">
        <f>'Financial Statements'!D27/'Financial Statements'!D52</f>
        <v>6.6411370040006856E-2</v>
      </c>
    </row>
    <row r="52" spans="1:5" x14ac:dyDescent="0.3">
      <c r="A52" s="20">
        <f t="shared" si="8"/>
        <v>5.7999999999999972</v>
      </c>
      <c r="B52" s="1" t="s">
        <v>54</v>
      </c>
      <c r="C52" s="36">
        <f>C53/C19</f>
        <v>23.901804764330812</v>
      </c>
      <c r="D52" s="36">
        <f t="shared" ref="D52:E52" si="9">D53/D19</f>
        <v>23.825200397870223</v>
      </c>
      <c r="E52" s="36">
        <f t="shared" si="9"/>
        <v>33.465232436154878</v>
      </c>
    </row>
    <row r="53" spans="1:5" x14ac:dyDescent="0.3">
      <c r="A53" s="20"/>
      <c r="B53" s="18" t="s">
        <v>55</v>
      </c>
      <c r="C53" s="42">
        <f>C54+'Financial Statements'!B63-'Financial Statements'!B41</f>
        <v>860106.44444444426</v>
      </c>
      <c r="D53" s="42">
        <f>D54+'Financial Statements'!C63-'Financial Statements'!C41</f>
        <v>1729328.3456790121</v>
      </c>
      <c r="E53" s="42">
        <f>E54+'Financial Statements'!D63-'Financial Statements'!D41</f>
        <v>1651776.9425837323</v>
      </c>
    </row>
    <row r="54" spans="1:5" x14ac:dyDescent="0.3">
      <c r="B54" s="1" t="s">
        <v>155</v>
      </c>
      <c r="C54" s="42">
        <f>C41*C43</f>
        <v>846844.44444444426</v>
      </c>
      <c r="D54" s="42">
        <f t="shared" ref="D54:E54" si="10">D41*D43</f>
        <v>1716804.3456790121</v>
      </c>
      <c r="E54" s="42">
        <f t="shared" si="10"/>
        <v>1662082.9425837323</v>
      </c>
    </row>
  </sheetData>
  <mergeCells count="1">
    <mergeCell ref="C2:E2"/>
  </mergeCells>
  <pageMargins left="0.7" right="0.7" top="0.75" bottom="0.75" header="0.3" footer="0.3"/>
  <ignoredErrors>
    <ignoredError sqref="C19 D18:E1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2"/>
  <sheetViews>
    <sheetView tabSelected="1" topLeftCell="A53" workbookViewId="0">
      <selection activeCell="G67" sqref="G67"/>
    </sheetView>
  </sheetViews>
  <sheetFormatPr defaultRowHeight="14.4" x14ac:dyDescent="0.3"/>
  <cols>
    <col min="1" max="1" width="59" customWidth="1"/>
    <col min="2" max="3" width="11.5546875" bestFit="1" customWidth="1"/>
    <col min="4" max="4" width="11.6640625" bestFit="1" customWidth="1"/>
    <col min="7" max="7" width="11.33203125" bestFit="1" customWidth="1"/>
  </cols>
  <sheetData>
    <row r="1" spans="1:10" ht="60" customHeight="1" x14ac:dyDescent="0.3">
      <c r="A1" s="7" t="s">
        <v>62</v>
      </c>
      <c r="B1" s="8" t="s">
        <v>9</v>
      </c>
      <c r="C1" s="8"/>
      <c r="D1" s="8"/>
      <c r="E1" s="8"/>
      <c r="F1" s="8"/>
      <c r="G1" s="8"/>
      <c r="H1" s="8"/>
      <c r="I1" s="8"/>
      <c r="J1" s="8"/>
    </row>
    <row r="2" spans="1:10" x14ac:dyDescent="0.3">
      <c r="A2" s="44" t="s">
        <v>10</v>
      </c>
      <c r="B2" s="44"/>
      <c r="C2" s="44"/>
      <c r="D2" s="44"/>
    </row>
    <row r="3" spans="1:10" x14ac:dyDescent="0.3">
      <c r="B3" s="43" t="s">
        <v>56</v>
      </c>
      <c r="C3" s="43"/>
      <c r="D3" s="43"/>
    </row>
    <row r="4" spans="1:10" x14ac:dyDescent="0.3">
      <c r="B4" s="9">
        <v>2022</v>
      </c>
      <c r="C4" s="9">
        <v>2021</v>
      </c>
      <c r="D4" s="9">
        <v>2020</v>
      </c>
    </row>
    <row r="5" spans="1:10" x14ac:dyDescent="0.3">
      <c r="A5" t="s">
        <v>64</v>
      </c>
    </row>
    <row r="6" spans="1:10" x14ac:dyDescent="0.3">
      <c r="A6" s="1" t="s">
        <v>65</v>
      </c>
      <c r="B6" s="10">
        <v>242901</v>
      </c>
      <c r="C6" s="10">
        <v>241787</v>
      </c>
      <c r="D6" s="10">
        <v>215915</v>
      </c>
    </row>
    <row r="7" spans="1:10" x14ac:dyDescent="0.3">
      <c r="A7" s="1" t="s">
        <v>66</v>
      </c>
      <c r="B7" s="10">
        <v>271082</v>
      </c>
      <c r="C7" s="10">
        <v>228035</v>
      </c>
      <c r="D7" s="10">
        <v>170149</v>
      </c>
    </row>
    <row r="8" spans="1:10" x14ac:dyDescent="0.3">
      <c r="A8" s="11" t="s">
        <v>63</v>
      </c>
      <c r="B8" s="12">
        <f>+B6+B7</f>
        <v>513983</v>
      </c>
      <c r="C8" s="12">
        <f t="shared" ref="C8:D8" si="0">+C6+C7</f>
        <v>469822</v>
      </c>
      <c r="D8" s="12">
        <f t="shared" si="0"/>
        <v>386064</v>
      </c>
      <c r="G8" s="40"/>
    </row>
    <row r="9" spans="1:10" x14ac:dyDescent="0.3">
      <c r="A9" t="s">
        <v>77</v>
      </c>
      <c r="B9" s="22"/>
      <c r="C9" s="10"/>
      <c r="D9" s="10"/>
    </row>
    <row r="10" spans="1:10" x14ac:dyDescent="0.3">
      <c r="A10" s="11" t="s">
        <v>67</v>
      </c>
      <c r="B10" s="16">
        <v>288831</v>
      </c>
      <c r="C10" s="12">
        <v>272344</v>
      </c>
      <c r="D10" s="12">
        <v>233307</v>
      </c>
    </row>
    <row r="11" spans="1:10" x14ac:dyDescent="0.3">
      <c r="A11" s="11" t="s">
        <v>11</v>
      </c>
      <c r="B11" s="12">
        <f>B8-B10</f>
        <v>225152</v>
      </c>
      <c r="C11" s="12">
        <f t="shared" ref="C11:D11" si="1">C8-C10</f>
        <v>197478</v>
      </c>
      <c r="D11" s="12">
        <f t="shared" si="1"/>
        <v>152757</v>
      </c>
    </row>
    <row r="12" spans="1:10" x14ac:dyDescent="0.3">
      <c r="A12" t="s">
        <v>68</v>
      </c>
      <c r="B12" s="10"/>
      <c r="C12" s="10"/>
      <c r="D12" s="10"/>
    </row>
    <row r="13" spans="1:10" x14ac:dyDescent="0.3">
      <c r="A13" s="1" t="s">
        <v>78</v>
      </c>
      <c r="B13" s="10">
        <v>84299</v>
      </c>
      <c r="C13" s="10">
        <v>75111</v>
      </c>
      <c r="D13" s="10">
        <v>58517</v>
      </c>
    </row>
    <row r="14" spans="1:10" x14ac:dyDescent="0.3">
      <c r="A14" s="1" t="s">
        <v>79</v>
      </c>
      <c r="B14" s="10">
        <v>73213</v>
      </c>
      <c r="C14" s="10">
        <v>56052</v>
      </c>
      <c r="D14" s="10">
        <v>42740</v>
      </c>
    </row>
    <row r="15" spans="1:10" x14ac:dyDescent="0.3">
      <c r="A15" s="1" t="s">
        <v>80</v>
      </c>
      <c r="B15" s="10">
        <v>42238</v>
      </c>
      <c r="C15" s="10">
        <v>32551</v>
      </c>
      <c r="D15" s="10">
        <v>22008</v>
      </c>
    </row>
    <row r="16" spans="1:10" x14ac:dyDescent="0.3">
      <c r="A16" s="1" t="s">
        <v>81</v>
      </c>
      <c r="B16" s="10">
        <v>11891</v>
      </c>
      <c r="C16" s="10">
        <v>8823</v>
      </c>
      <c r="D16" s="10">
        <v>6668</v>
      </c>
    </row>
    <row r="17" spans="1:4" x14ac:dyDescent="0.3">
      <c r="A17" s="1" t="s">
        <v>82</v>
      </c>
      <c r="B17" s="10">
        <v>1263</v>
      </c>
      <c r="C17" s="10">
        <v>62</v>
      </c>
      <c r="D17" s="10">
        <v>-75</v>
      </c>
    </row>
    <row r="18" spans="1:4" x14ac:dyDescent="0.3">
      <c r="A18" s="11" t="s">
        <v>69</v>
      </c>
      <c r="B18" s="12">
        <f>+SUM(B13:B17)</f>
        <v>212904</v>
      </c>
      <c r="C18" s="12">
        <f t="shared" ref="C18:D18" si="2">+SUM(C13:C17)</f>
        <v>172599</v>
      </c>
      <c r="D18" s="12">
        <f t="shared" si="2"/>
        <v>129858</v>
      </c>
    </row>
    <row r="19" spans="1:4" s="9" customFormat="1" x14ac:dyDescent="0.3">
      <c r="A19" s="11" t="s">
        <v>70</v>
      </c>
      <c r="B19" s="12">
        <f>B11-B18</f>
        <v>12248</v>
      </c>
      <c r="C19" s="12">
        <f t="shared" ref="C19:D19" si="3">C11-C18</f>
        <v>24879</v>
      </c>
      <c r="D19" s="12">
        <f t="shared" si="3"/>
        <v>22899</v>
      </c>
    </row>
    <row r="20" spans="1:4" s="9" customFormat="1" x14ac:dyDescent="0.3">
      <c r="A20" t="s">
        <v>83</v>
      </c>
      <c r="B20" s="24">
        <v>989</v>
      </c>
      <c r="C20" s="24">
        <v>448</v>
      </c>
      <c r="D20" s="24">
        <v>555</v>
      </c>
    </row>
    <row r="21" spans="1:4" s="9" customFormat="1" x14ac:dyDescent="0.3">
      <c r="A21" t="s">
        <v>84</v>
      </c>
      <c r="B21" s="24">
        <v>-2367</v>
      </c>
      <c r="C21" s="24">
        <v>-1809</v>
      </c>
      <c r="D21" s="24">
        <v>-1647</v>
      </c>
    </row>
    <row r="22" spans="1:4" s="9" customFormat="1" x14ac:dyDescent="0.3">
      <c r="A22" t="s">
        <v>71</v>
      </c>
      <c r="B22" s="24">
        <v>-16806</v>
      </c>
      <c r="C22" s="24">
        <v>14633</v>
      </c>
      <c r="D22" s="24">
        <v>2371</v>
      </c>
    </row>
    <row r="23" spans="1:4" x14ac:dyDescent="0.3">
      <c r="A23" s="25" t="s">
        <v>85</v>
      </c>
      <c r="B23" s="26">
        <f>+B20+B21+B22</f>
        <v>-18184</v>
      </c>
      <c r="C23" s="26">
        <f t="shared" ref="C23" si="4">+C20+C21+C22</f>
        <v>13272</v>
      </c>
      <c r="D23" s="26">
        <f>+D20+D21+D22</f>
        <v>1279</v>
      </c>
    </row>
    <row r="24" spans="1:4" x14ac:dyDescent="0.3">
      <c r="A24" s="11" t="s">
        <v>72</v>
      </c>
      <c r="B24" s="12">
        <f>B19+B23</f>
        <v>-5936</v>
      </c>
      <c r="C24" s="12">
        <f>C19+C23</f>
        <v>38151</v>
      </c>
      <c r="D24" s="12">
        <f t="shared" ref="D24" si="5">D19+D23</f>
        <v>24178</v>
      </c>
    </row>
    <row r="25" spans="1:4" x14ac:dyDescent="0.3">
      <c r="A25" t="s">
        <v>73</v>
      </c>
      <c r="B25" s="10">
        <v>3217</v>
      </c>
      <c r="C25" s="10">
        <v>-4791</v>
      </c>
      <c r="D25" s="10">
        <v>-2863</v>
      </c>
    </row>
    <row r="26" spans="1:4" x14ac:dyDescent="0.3">
      <c r="A26" t="s">
        <v>86</v>
      </c>
      <c r="B26" s="10">
        <v>-3</v>
      </c>
      <c r="C26" s="10">
        <v>4</v>
      </c>
      <c r="D26" s="10">
        <v>16</v>
      </c>
    </row>
    <row r="27" spans="1:4" ht="15" thickBot="1" x14ac:dyDescent="0.35">
      <c r="A27" s="13" t="s">
        <v>87</v>
      </c>
      <c r="B27" s="14">
        <f>B24+B25+B26</f>
        <v>-2722</v>
      </c>
      <c r="C27" s="14">
        <f t="shared" ref="C27:D27" si="6">C24+C25+C26</f>
        <v>33364</v>
      </c>
      <c r="D27" s="14">
        <f t="shared" si="6"/>
        <v>21331</v>
      </c>
    </row>
    <row r="28" spans="1:4" ht="15" thickTop="1" x14ac:dyDescent="0.3">
      <c r="A28" t="s">
        <v>74</v>
      </c>
    </row>
    <row r="29" spans="1:4" x14ac:dyDescent="0.3">
      <c r="A29" s="1" t="s">
        <v>75</v>
      </c>
      <c r="B29" s="27">
        <v>-0.27</v>
      </c>
      <c r="C29" s="27">
        <v>3.3</v>
      </c>
      <c r="D29" s="27">
        <v>2.13</v>
      </c>
    </row>
    <row r="30" spans="1:4" x14ac:dyDescent="0.3">
      <c r="A30" s="1" t="s">
        <v>76</v>
      </c>
      <c r="B30" s="27">
        <v>-0.27</v>
      </c>
      <c r="C30" s="27">
        <v>3.24</v>
      </c>
      <c r="D30" s="27">
        <v>2.09</v>
      </c>
    </row>
    <row r="31" spans="1:4" x14ac:dyDescent="0.3">
      <c r="A31" t="s">
        <v>88</v>
      </c>
    </row>
    <row r="32" spans="1:4" x14ac:dyDescent="0.3">
      <c r="A32" s="1" t="s">
        <v>75</v>
      </c>
      <c r="B32" s="15">
        <v>10189</v>
      </c>
      <c r="C32" s="10">
        <v>10117</v>
      </c>
      <c r="D32" s="15">
        <v>10005</v>
      </c>
    </row>
    <row r="33" spans="1:4" x14ac:dyDescent="0.3">
      <c r="A33" s="1" t="s">
        <v>76</v>
      </c>
      <c r="B33" s="15">
        <v>10189</v>
      </c>
      <c r="C33" s="10">
        <v>10296</v>
      </c>
      <c r="D33" s="15">
        <v>10198</v>
      </c>
    </row>
    <row r="36" spans="1:4" x14ac:dyDescent="0.3">
      <c r="A36" s="44" t="s">
        <v>12</v>
      </c>
      <c r="B36" s="44"/>
      <c r="C36" s="44"/>
      <c r="D36" s="44"/>
    </row>
    <row r="37" spans="1:4" x14ac:dyDescent="0.3">
      <c r="B37" s="43" t="s">
        <v>57</v>
      </c>
      <c r="C37" s="43"/>
      <c r="D37" s="43"/>
    </row>
    <row r="38" spans="1:4" x14ac:dyDescent="0.3">
      <c r="B38" s="9">
        <v>2022</v>
      </c>
      <c r="C38" s="9">
        <v>2021</v>
      </c>
      <c r="D38" s="9">
        <v>2020</v>
      </c>
    </row>
    <row r="40" spans="1:4" x14ac:dyDescent="0.3">
      <c r="A40" t="s">
        <v>89</v>
      </c>
    </row>
    <row r="41" spans="1:4" x14ac:dyDescent="0.3">
      <c r="A41" s="1" t="s">
        <v>90</v>
      </c>
      <c r="B41" s="10">
        <v>53888</v>
      </c>
      <c r="C41" s="10">
        <v>36220</v>
      </c>
      <c r="D41" s="10">
        <v>42122</v>
      </c>
    </row>
    <row r="42" spans="1:4" x14ac:dyDescent="0.3">
      <c r="A42" s="1" t="s">
        <v>91</v>
      </c>
      <c r="B42" s="10">
        <v>16138</v>
      </c>
      <c r="C42" s="10">
        <v>59829</v>
      </c>
      <c r="D42" s="10">
        <v>42274</v>
      </c>
    </row>
    <row r="43" spans="1:4" x14ac:dyDescent="0.3">
      <c r="A43" s="1" t="s">
        <v>92</v>
      </c>
      <c r="B43" s="10">
        <v>42360</v>
      </c>
      <c r="C43" s="10">
        <v>32891</v>
      </c>
      <c r="D43" s="10">
        <v>24542</v>
      </c>
    </row>
    <row r="44" spans="1:4" x14ac:dyDescent="0.3">
      <c r="A44" s="1" t="s">
        <v>93</v>
      </c>
      <c r="B44" s="10">
        <v>34405</v>
      </c>
      <c r="C44" s="10">
        <v>32640</v>
      </c>
      <c r="D44" s="10">
        <v>23795</v>
      </c>
    </row>
    <row r="45" spans="1:4" x14ac:dyDescent="0.3">
      <c r="A45" s="11" t="s">
        <v>94</v>
      </c>
      <c r="B45" s="12">
        <f>+SUM(B41:B44)</f>
        <v>146791</v>
      </c>
      <c r="C45" s="12">
        <f>+SUM(C41:C44)</f>
        <v>161580</v>
      </c>
      <c r="D45" s="12">
        <f>+SUM(D41:D44)</f>
        <v>132733</v>
      </c>
    </row>
    <row r="46" spans="1:4" x14ac:dyDescent="0.3">
      <c r="A46" t="s">
        <v>95</v>
      </c>
      <c r="B46" s="10"/>
      <c r="C46" s="10"/>
      <c r="D46" s="10"/>
    </row>
    <row r="47" spans="1:4" x14ac:dyDescent="0.3">
      <c r="A47" s="1" t="s">
        <v>96</v>
      </c>
      <c r="B47" s="10">
        <v>186715</v>
      </c>
      <c r="C47" s="10">
        <v>160281</v>
      </c>
      <c r="D47" s="10">
        <v>113114</v>
      </c>
    </row>
    <row r="48" spans="1:4" x14ac:dyDescent="0.3">
      <c r="A48" s="1" t="s">
        <v>99</v>
      </c>
      <c r="B48" s="10">
        <v>66123</v>
      </c>
      <c r="C48" s="10">
        <v>56082</v>
      </c>
      <c r="D48" s="10">
        <v>37553</v>
      </c>
    </row>
    <row r="49" spans="1:4" x14ac:dyDescent="0.3">
      <c r="A49" s="1" t="s">
        <v>100</v>
      </c>
      <c r="B49" s="10">
        <v>20288</v>
      </c>
      <c r="C49" s="10">
        <v>15371</v>
      </c>
      <c r="D49" s="10">
        <v>15017</v>
      </c>
    </row>
    <row r="50" spans="1:4" x14ac:dyDescent="0.3">
      <c r="A50" s="1" t="s">
        <v>101</v>
      </c>
      <c r="B50" s="10">
        <v>42758</v>
      </c>
      <c r="C50" s="10">
        <v>27235</v>
      </c>
      <c r="D50" s="10">
        <v>22778</v>
      </c>
    </row>
    <row r="51" spans="1:4" x14ac:dyDescent="0.3">
      <c r="A51" s="11" t="s">
        <v>97</v>
      </c>
      <c r="B51" s="12">
        <f>+SUM(B47:B50)</f>
        <v>315884</v>
      </c>
      <c r="C51" s="12">
        <f>+SUM(C47:C50)</f>
        <v>258969</v>
      </c>
      <c r="D51" s="12">
        <f>+SUM(D47:D50)</f>
        <v>188462</v>
      </c>
    </row>
    <row r="52" spans="1:4" ht="15" thickBot="1" x14ac:dyDescent="0.35">
      <c r="A52" s="13" t="s">
        <v>98</v>
      </c>
      <c r="B52" s="14">
        <f>+B45+B51</f>
        <v>462675</v>
      </c>
      <c r="C52" s="14">
        <f t="shared" ref="C52:D52" si="7">+C45+C51</f>
        <v>420549</v>
      </c>
      <c r="D52" s="14">
        <f t="shared" si="7"/>
        <v>321195</v>
      </c>
    </row>
    <row r="53" spans="1:4" ht="15" thickTop="1" x14ac:dyDescent="0.3"/>
    <row r="54" spans="1:4" x14ac:dyDescent="0.3">
      <c r="A54" t="s">
        <v>102</v>
      </c>
    </row>
    <row r="55" spans="1:4" x14ac:dyDescent="0.3">
      <c r="A55" s="1" t="s">
        <v>103</v>
      </c>
      <c r="B55" s="10">
        <v>79600</v>
      </c>
      <c r="C55" s="10">
        <v>78664</v>
      </c>
      <c r="D55" s="10">
        <v>72539</v>
      </c>
    </row>
    <row r="56" spans="1:4" x14ac:dyDescent="0.3">
      <c r="A56" s="1" t="s">
        <v>115</v>
      </c>
      <c r="B56" s="10">
        <v>62566</v>
      </c>
      <c r="C56" s="10">
        <v>51775</v>
      </c>
      <c r="D56" s="10">
        <v>44138</v>
      </c>
    </row>
    <row r="57" spans="1:4" x14ac:dyDescent="0.3">
      <c r="A57" s="1" t="s">
        <v>116</v>
      </c>
      <c r="B57" s="10">
        <v>13227</v>
      </c>
      <c r="C57" s="10">
        <v>11827</v>
      </c>
      <c r="D57" s="10">
        <v>9708</v>
      </c>
    </row>
    <row r="58" spans="1:4" x14ac:dyDescent="0.3">
      <c r="A58" s="1" t="s">
        <v>104</v>
      </c>
      <c r="B58" s="10"/>
      <c r="C58" s="10"/>
      <c r="D58" s="10"/>
    </row>
    <row r="59" spans="1:4" x14ac:dyDescent="0.3">
      <c r="A59" s="1" t="s">
        <v>105</v>
      </c>
      <c r="B59" s="10"/>
      <c r="C59" s="10"/>
      <c r="D59" s="10"/>
    </row>
    <row r="60" spans="1:4" x14ac:dyDescent="0.3">
      <c r="A60" s="11" t="s">
        <v>106</v>
      </c>
      <c r="B60" s="12">
        <f>+SUM(B55:B59)</f>
        <v>155393</v>
      </c>
      <c r="C60" s="12">
        <f>+SUM(C55:C59)</f>
        <v>142266</v>
      </c>
      <c r="D60" s="12">
        <f>+SUM(D55:D59)</f>
        <v>126385</v>
      </c>
    </row>
    <row r="61" spans="1:4" x14ac:dyDescent="0.3">
      <c r="A61" t="s">
        <v>107</v>
      </c>
      <c r="B61" s="10"/>
      <c r="C61" s="10"/>
      <c r="D61" s="10"/>
    </row>
    <row r="62" spans="1:4" x14ac:dyDescent="0.3">
      <c r="A62" s="1" t="s">
        <v>117</v>
      </c>
      <c r="B62" s="10">
        <v>72968</v>
      </c>
      <c r="C62" s="10">
        <v>67651</v>
      </c>
      <c r="D62" s="10">
        <v>52573</v>
      </c>
    </row>
    <row r="63" spans="1:4" x14ac:dyDescent="0.3">
      <c r="A63" s="1" t="s">
        <v>118</v>
      </c>
      <c r="B63" s="10">
        <v>67150</v>
      </c>
      <c r="C63" s="10">
        <v>48744</v>
      </c>
      <c r="D63" s="10">
        <v>31816</v>
      </c>
    </row>
    <row r="64" spans="1:4" x14ac:dyDescent="0.3">
      <c r="A64" s="1" t="s">
        <v>119</v>
      </c>
      <c r="B64" s="10">
        <v>21121</v>
      </c>
      <c r="C64" s="10">
        <v>23643</v>
      </c>
      <c r="D64" s="10">
        <v>17017</v>
      </c>
    </row>
    <row r="65" spans="1:4" x14ac:dyDescent="0.3">
      <c r="A65" s="29" t="s">
        <v>108</v>
      </c>
      <c r="B65" s="26">
        <f>+SUM(B61:B64)</f>
        <v>161239</v>
      </c>
      <c r="C65" s="26">
        <f t="shared" ref="C65:D65" si="8">+SUM(C61:C64)</f>
        <v>140038</v>
      </c>
      <c r="D65" s="26">
        <f t="shared" si="8"/>
        <v>101406</v>
      </c>
    </row>
    <row r="66" spans="1:4" x14ac:dyDescent="0.3">
      <c r="A66" s="11" t="s">
        <v>109</v>
      </c>
      <c r="B66" s="12">
        <f>+B60+B65</f>
        <v>316632</v>
      </c>
      <c r="C66" s="12">
        <f t="shared" ref="C66:D66" si="9">+C60+C65</f>
        <v>282304</v>
      </c>
      <c r="D66" s="12">
        <f t="shared" si="9"/>
        <v>227791</v>
      </c>
    </row>
    <row r="67" spans="1:4" x14ac:dyDescent="0.3">
      <c r="B67" s="10"/>
      <c r="C67" s="10"/>
      <c r="D67" s="10"/>
    </row>
    <row r="68" spans="1:4" x14ac:dyDescent="0.3">
      <c r="A68" t="s">
        <v>110</v>
      </c>
      <c r="B68" s="10"/>
      <c r="C68" s="10"/>
      <c r="D68" s="10"/>
    </row>
    <row r="69" spans="1:4" x14ac:dyDescent="0.3">
      <c r="B69" s="10"/>
      <c r="C69" s="10"/>
      <c r="D69" s="10"/>
    </row>
    <row r="70" spans="1:4" x14ac:dyDescent="0.3">
      <c r="A70" s="1" t="s">
        <v>120</v>
      </c>
      <c r="B70" s="10">
        <v>108</v>
      </c>
      <c r="C70" s="10">
        <v>106</v>
      </c>
      <c r="D70" s="10">
        <v>5</v>
      </c>
    </row>
    <row r="71" spans="1:4" x14ac:dyDescent="0.3">
      <c r="A71" s="1" t="s">
        <v>121</v>
      </c>
      <c r="B71" s="10">
        <v>-7837</v>
      </c>
      <c r="C71" s="10">
        <v>-1837</v>
      </c>
      <c r="D71" s="10">
        <v>-1837</v>
      </c>
    </row>
    <row r="72" spans="1:4" x14ac:dyDescent="0.3">
      <c r="A72" s="1" t="s">
        <v>152</v>
      </c>
      <c r="B72" s="10">
        <v>75066</v>
      </c>
      <c r="C72" s="10">
        <v>55437</v>
      </c>
      <c r="D72" s="10">
        <v>42865</v>
      </c>
    </row>
    <row r="73" spans="1:4" x14ac:dyDescent="0.3">
      <c r="A73" s="1" t="s">
        <v>111</v>
      </c>
      <c r="B73" s="32">
        <v>83193</v>
      </c>
      <c r="C73" s="10">
        <v>85915</v>
      </c>
      <c r="D73" s="10">
        <v>52551</v>
      </c>
    </row>
    <row r="74" spans="1:4" x14ac:dyDescent="0.3">
      <c r="A74" s="1" t="s">
        <v>112</v>
      </c>
      <c r="B74" s="10">
        <v>-4487</v>
      </c>
      <c r="C74" s="10">
        <v>-1376</v>
      </c>
      <c r="D74" s="10">
        <v>-180</v>
      </c>
    </row>
    <row r="75" spans="1:4" x14ac:dyDescent="0.3">
      <c r="A75" s="11" t="s">
        <v>113</v>
      </c>
      <c r="B75" s="12">
        <f>+SUM(B70:B74)</f>
        <v>146043</v>
      </c>
      <c r="C75" s="12">
        <f t="shared" ref="C75:D75" si="10">+SUM(C70:C74)</f>
        <v>138245</v>
      </c>
      <c r="D75" s="12">
        <f t="shared" si="10"/>
        <v>93404</v>
      </c>
    </row>
    <row r="76" spans="1:4" ht="15" thickBot="1" x14ac:dyDescent="0.35">
      <c r="A76" s="13" t="s">
        <v>114</v>
      </c>
      <c r="B76" s="14">
        <f>B66+B75</f>
        <v>462675</v>
      </c>
      <c r="C76" s="14">
        <f t="shared" ref="C76:D76" si="11">C66+C75</f>
        <v>420549</v>
      </c>
      <c r="D76" s="14">
        <f t="shared" si="11"/>
        <v>321195</v>
      </c>
    </row>
    <row r="77" spans="1:4" ht="15" thickTop="1" x14ac:dyDescent="0.3"/>
    <row r="78" spans="1:4" x14ac:dyDescent="0.3">
      <c r="A78" s="44" t="s">
        <v>13</v>
      </c>
      <c r="B78" s="44"/>
      <c r="C78" s="44"/>
      <c r="D78" s="44"/>
    </row>
    <row r="79" spans="1:4" x14ac:dyDescent="0.3">
      <c r="B79" s="43" t="s">
        <v>56</v>
      </c>
      <c r="C79" s="43"/>
      <c r="D79" s="43"/>
    </row>
    <row r="80" spans="1:4" x14ac:dyDescent="0.3">
      <c r="B80" s="9">
        <v>2022</v>
      </c>
      <c r="C80" s="9">
        <v>2021</v>
      </c>
      <c r="D80" s="9">
        <v>2020</v>
      </c>
    </row>
    <row r="82" spans="1:4" x14ac:dyDescent="0.3">
      <c r="A82" s="9" t="s">
        <v>122</v>
      </c>
      <c r="B82" s="16">
        <v>36477</v>
      </c>
      <c r="C82" s="16">
        <v>42377</v>
      </c>
      <c r="D82" s="16">
        <v>36477</v>
      </c>
    </row>
    <row r="83" spans="1:4" x14ac:dyDescent="0.3">
      <c r="A83" t="s">
        <v>123</v>
      </c>
      <c r="B83" s="10"/>
      <c r="C83" s="10"/>
      <c r="D83" s="10"/>
    </row>
    <row r="84" spans="1:4" x14ac:dyDescent="0.3">
      <c r="A84" s="17" t="s">
        <v>87</v>
      </c>
      <c r="B84" s="16">
        <f>B27</f>
        <v>-2722</v>
      </c>
      <c r="C84" s="16">
        <f t="shared" ref="C84:D84" si="12">C27</f>
        <v>33364</v>
      </c>
      <c r="D84" s="16">
        <f t="shared" si="12"/>
        <v>21331</v>
      </c>
    </row>
    <row r="85" spans="1:4" x14ac:dyDescent="0.3">
      <c r="A85" s="1" t="s">
        <v>124</v>
      </c>
      <c r="B85" s="10"/>
      <c r="C85" s="10"/>
      <c r="D85" s="10"/>
    </row>
    <row r="86" spans="1:4" x14ac:dyDescent="0.3">
      <c r="A86" s="18" t="s">
        <v>125</v>
      </c>
      <c r="B86" s="10">
        <v>41921</v>
      </c>
      <c r="C86" s="10">
        <v>34433</v>
      </c>
      <c r="D86" s="10">
        <v>25180</v>
      </c>
    </row>
    <row r="87" spans="1:4" x14ac:dyDescent="0.3">
      <c r="A87" s="18" t="s">
        <v>138</v>
      </c>
      <c r="B87" s="10">
        <v>19621</v>
      </c>
      <c r="C87" s="10">
        <v>12757</v>
      </c>
      <c r="D87" s="10">
        <v>9208</v>
      </c>
    </row>
    <row r="88" spans="1:4" x14ac:dyDescent="0.3">
      <c r="A88" s="18" t="s">
        <v>126</v>
      </c>
      <c r="B88" s="10">
        <v>-8148</v>
      </c>
      <c r="C88" s="10">
        <v>-310</v>
      </c>
      <c r="D88" s="10">
        <v>-554</v>
      </c>
    </row>
    <row r="89" spans="1:4" x14ac:dyDescent="0.3">
      <c r="A89" s="18" t="s">
        <v>139</v>
      </c>
      <c r="B89" s="10">
        <v>16966</v>
      </c>
      <c r="C89" s="10">
        <v>-14306</v>
      </c>
      <c r="D89" s="10">
        <v>-2582</v>
      </c>
    </row>
    <row r="90" spans="1:4" x14ac:dyDescent="0.3">
      <c r="A90" t="s">
        <v>127</v>
      </c>
      <c r="B90" s="10"/>
      <c r="C90" s="10"/>
      <c r="D90" s="10"/>
    </row>
    <row r="91" spans="1:4" x14ac:dyDescent="0.3">
      <c r="A91" s="1" t="s">
        <v>92</v>
      </c>
      <c r="B91" s="10">
        <v>-21897</v>
      </c>
      <c r="C91" s="10">
        <v>-18163</v>
      </c>
      <c r="D91" s="10">
        <v>-8169</v>
      </c>
    </row>
    <row r="92" spans="1:4" x14ac:dyDescent="0.3">
      <c r="A92" s="1" t="s">
        <v>93</v>
      </c>
      <c r="B92" s="10">
        <v>-2592</v>
      </c>
      <c r="C92" s="10">
        <v>-9487</v>
      </c>
      <c r="D92" s="10">
        <v>-2849</v>
      </c>
    </row>
    <row r="93" spans="1:4" x14ac:dyDescent="0.3">
      <c r="A93" s="1" t="s">
        <v>103</v>
      </c>
      <c r="B93" s="10">
        <v>2945</v>
      </c>
      <c r="C93" s="10">
        <v>3602</v>
      </c>
      <c r="D93" s="10">
        <v>17480</v>
      </c>
    </row>
    <row r="94" spans="1:4" x14ac:dyDescent="0.3">
      <c r="A94" s="1" t="s">
        <v>115</v>
      </c>
      <c r="B94" s="10">
        <v>-1558</v>
      </c>
      <c r="C94" s="10">
        <v>2123</v>
      </c>
      <c r="D94" s="10">
        <v>5754</v>
      </c>
    </row>
    <row r="95" spans="1:4" x14ac:dyDescent="0.3">
      <c r="A95" s="1" t="s">
        <v>116</v>
      </c>
      <c r="B95" s="10">
        <v>2216</v>
      </c>
      <c r="C95" s="10">
        <v>2314</v>
      </c>
      <c r="D95" s="10">
        <v>1265</v>
      </c>
    </row>
    <row r="96" spans="1:4" x14ac:dyDescent="0.3">
      <c r="A96" s="11" t="s">
        <v>128</v>
      </c>
      <c r="B96" s="12">
        <f>+SUM(B84:B95)</f>
        <v>46752</v>
      </c>
      <c r="C96" s="12">
        <f t="shared" ref="C96:D96" si="13">+SUM(C84:C95)</f>
        <v>46327</v>
      </c>
      <c r="D96" s="12">
        <f t="shared" si="13"/>
        <v>66064</v>
      </c>
    </row>
    <row r="97" spans="1:4" x14ac:dyDescent="0.3">
      <c r="A97" s="9" t="s">
        <v>129</v>
      </c>
      <c r="B97" s="10"/>
      <c r="C97" s="10"/>
      <c r="D97" s="10"/>
    </row>
    <row r="98" spans="1:4" x14ac:dyDescent="0.3">
      <c r="A98" s="1" t="s">
        <v>143</v>
      </c>
      <c r="B98" s="10">
        <v>-63645</v>
      </c>
      <c r="C98" s="10">
        <v>-61053</v>
      </c>
      <c r="D98" s="10">
        <v>-40140</v>
      </c>
    </row>
    <row r="99" spans="1:4" x14ac:dyDescent="0.3">
      <c r="A99" s="1" t="s">
        <v>130</v>
      </c>
      <c r="B99" s="10">
        <v>-2565</v>
      </c>
      <c r="C99" s="10">
        <v>-60157</v>
      </c>
      <c r="D99" s="10">
        <v>-72479</v>
      </c>
    </row>
    <row r="100" spans="1:4" x14ac:dyDescent="0.3">
      <c r="A100" s="1" t="s">
        <v>140</v>
      </c>
      <c r="B100" s="10">
        <v>5324</v>
      </c>
      <c r="C100" s="10">
        <v>5657</v>
      </c>
      <c r="D100" s="10">
        <v>5096</v>
      </c>
    </row>
    <row r="101" spans="1:4" x14ac:dyDescent="0.3">
      <c r="A101" s="1" t="s">
        <v>141</v>
      </c>
      <c r="B101" s="10">
        <v>-8316</v>
      </c>
      <c r="C101" s="10">
        <v>-1985</v>
      </c>
      <c r="D101" s="10">
        <v>-2325</v>
      </c>
    </row>
    <row r="102" spans="1:4" x14ac:dyDescent="0.3">
      <c r="A102" s="1" t="s">
        <v>142</v>
      </c>
      <c r="B102" s="33">
        <v>31601</v>
      </c>
      <c r="C102" s="33">
        <v>59384</v>
      </c>
      <c r="D102" s="33">
        <v>50237</v>
      </c>
    </row>
    <row r="103" spans="1:4" x14ac:dyDescent="0.3">
      <c r="A103" s="11" t="s">
        <v>131</v>
      </c>
      <c r="B103" s="16">
        <f>+SUM(B98:B102)</f>
        <v>-37601</v>
      </c>
      <c r="C103" s="16">
        <f t="shared" ref="C103:D103" si="14">+SUM(C98:C102)</f>
        <v>-58154</v>
      </c>
      <c r="D103" s="16">
        <f t="shared" si="14"/>
        <v>-59611</v>
      </c>
    </row>
    <row r="104" spans="1:4" x14ac:dyDescent="0.3">
      <c r="A104" s="34" t="s">
        <v>132</v>
      </c>
      <c r="B104" s="10"/>
      <c r="C104" s="10"/>
      <c r="D104" s="10"/>
    </row>
    <row r="105" spans="1:4" x14ac:dyDescent="0.3">
      <c r="A105" s="1" t="s">
        <v>144</v>
      </c>
      <c r="B105" s="31">
        <v>-6000</v>
      </c>
      <c r="C105" s="31">
        <v>0</v>
      </c>
      <c r="D105" s="31">
        <v>0</v>
      </c>
    </row>
    <row r="106" spans="1:4" x14ac:dyDescent="0.3">
      <c r="A106" s="1" t="s">
        <v>145</v>
      </c>
      <c r="B106" s="10">
        <v>41553</v>
      </c>
      <c r="C106" s="10">
        <v>7956</v>
      </c>
      <c r="D106" s="10">
        <v>6796</v>
      </c>
    </row>
    <row r="107" spans="1:4" x14ac:dyDescent="0.3">
      <c r="A107" s="1" t="s">
        <v>146</v>
      </c>
      <c r="B107" s="10">
        <v>-37554</v>
      </c>
      <c r="C107" s="10">
        <v>-7753</v>
      </c>
      <c r="D107" s="10">
        <v>-6177</v>
      </c>
    </row>
    <row r="108" spans="1:4" x14ac:dyDescent="0.3">
      <c r="A108" s="1" t="s">
        <v>147</v>
      </c>
      <c r="B108" s="10">
        <v>21166</v>
      </c>
      <c r="C108" s="10">
        <v>19003</v>
      </c>
      <c r="D108" s="10">
        <v>10525</v>
      </c>
    </row>
    <row r="109" spans="1:4" x14ac:dyDescent="0.3">
      <c r="A109" s="1" t="s">
        <v>156</v>
      </c>
      <c r="B109" s="10">
        <v>-1258</v>
      </c>
      <c r="C109" s="10">
        <v>-1590</v>
      </c>
      <c r="D109" s="10">
        <v>-1553</v>
      </c>
    </row>
    <row r="110" spans="1:4" x14ac:dyDescent="0.3">
      <c r="A110" s="1" t="s">
        <v>151</v>
      </c>
      <c r="B110" s="10">
        <v>-7941</v>
      </c>
      <c r="C110" s="10">
        <v>-11163</v>
      </c>
      <c r="D110" s="10">
        <v>-10642</v>
      </c>
    </row>
    <row r="111" spans="1:4" x14ac:dyDescent="0.3">
      <c r="A111" s="1" t="s">
        <v>148</v>
      </c>
      <c r="B111" s="33">
        <v>-248</v>
      </c>
      <c r="C111" s="33">
        <v>-162</v>
      </c>
      <c r="D111" s="33">
        <v>-53</v>
      </c>
    </row>
    <row r="112" spans="1:4" x14ac:dyDescent="0.3">
      <c r="A112" s="25" t="s">
        <v>133</v>
      </c>
      <c r="B112" s="26">
        <f>+SUM(B105:B111)</f>
        <v>9718</v>
      </c>
      <c r="C112" s="26">
        <f t="shared" ref="C112:D112" si="15">+SUM(C105:C111)</f>
        <v>6291</v>
      </c>
      <c r="D112" s="26">
        <f t="shared" si="15"/>
        <v>-1104</v>
      </c>
    </row>
    <row r="113" spans="1:4" x14ac:dyDescent="0.3">
      <c r="A113" s="25" t="s">
        <v>149</v>
      </c>
      <c r="B113" s="30">
        <v>-1093</v>
      </c>
      <c r="C113" s="30">
        <v>-364</v>
      </c>
      <c r="D113" s="30">
        <v>618</v>
      </c>
    </row>
    <row r="114" spans="1:4" x14ac:dyDescent="0.3">
      <c r="A114" s="9" t="s">
        <v>150</v>
      </c>
      <c r="B114" s="26">
        <f>+B96+B103+B112+B113</f>
        <v>17776</v>
      </c>
      <c r="C114" s="26">
        <f t="shared" ref="C114:D114" si="16">+C96+C103+C112+C113</f>
        <v>-5900</v>
      </c>
      <c r="D114" s="26">
        <f t="shared" si="16"/>
        <v>5967</v>
      </c>
    </row>
    <row r="115" spans="1:4" ht="15" thickBot="1" x14ac:dyDescent="0.35">
      <c r="A115" s="13" t="s">
        <v>134</v>
      </c>
      <c r="B115" s="35">
        <f>+B82+B114</f>
        <v>54253</v>
      </c>
      <c r="C115" s="35">
        <f t="shared" ref="C115:D115" si="17">+C82+C114</f>
        <v>36477</v>
      </c>
      <c r="D115" s="35">
        <f t="shared" si="17"/>
        <v>42444</v>
      </c>
    </row>
    <row r="116" spans="1:4" ht="15" thickTop="1" x14ac:dyDescent="0.3">
      <c r="B116" s="23"/>
      <c r="C116" s="23"/>
      <c r="D116" s="23"/>
    </row>
    <row r="117" spans="1:4" x14ac:dyDescent="0.3">
      <c r="A117" t="s">
        <v>135</v>
      </c>
      <c r="B117" s="23"/>
      <c r="C117" s="23"/>
      <c r="D117" s="23"/>
    </row>
    <row r="118" spans="1:4" x14ac:dyDescent="0.3">
      <c r="A118" t="s">
        <v>136</v>
      </c>
      <c r="B118" s="23"/>
      <c r="C118" s="23"/>
      <c r="D118" s="23"/>
    </row>
    <row r="119" spans="1:4" x14ac:dyDescent="0.3">
      <c r="A119" t="s">
        <v>137</v>
      </c>
      <c r="B119" s="32"/>
      <c r="C119" s="32"/>
      <c r="D119" s="32"/>
    </row>
    <row r="120" spans="1:4" x14ac:dyDescent="0.3">
      <c r="B120" s="10"/>
      <c r="C120" s="10"/>
      <c r="D120" s="10"/>
    </row>
    <row r="121" spans="1:4" x14ac:dyDescent="0.3">
      <c r="B121" s="10"/>
      <c r="C121" s="10"/>
      <c r="D121" s="10"/>
    </row>
    <row r="122" spans="1:4" x14ac:dyDescent="0.3">
      <c r="B122" s="10"/>
      <c r="C122" s="10"/>
      <c r="D122" s="10"/>
    </row>
  </sheetData>
  <mergeCells count="6">
    <mergeCell ref="B79:D79"/>
    <mergeCell ref="A2:D2"/>
    <mergeCell ref="B3:D3"/>
    <mergeCell ref="A36:D36"/>
    <mergeCell ref="B37:D37"/>
    <mergeCell ref="A78:D7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List of Ratios</vt:lpstr>
      <vt:lpstr>Financial Statements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Seth Akuffo Anoff</cp:lastModifiedBy>
  <dcterms:created xsi:type="dcterms:W3CDTF">2020-05-19T16:15:53Z</dcterms:created>
  <dcterms:modified xsi:type="dcterms:W3CDTF">2023-11-01T16:56:12Z</dcterms:modified>
</cp:coreProperties>
</file>